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510"/>
  </bookViews>
  <sheets>
    <sheet name="Planilha" sheetId="1" r:id="rId1"/>
    <sheet name="Memorial de cálculo" sheetId="2" r:id="rId2"/>
    <sheet name="Cronograma" sheetId="4" r:id="rId3"/>
    <sheet name="COMP A1." sheetId="3" r:id="rId4"/>
  </sheets>
  <definedNames>
    <definedName name="_xlnm.Print_Titles" localSheetId="0">Planilha!$1:$10</definedName>
    <definedName name="_xlnm.Print_Area" localSheetId="2">Cronograma!$B$2:$N$209</definedName>
    <definedName name="_xlnm.Print_Titles" localSheetId="2">Cronograma!$2:$14</definedName>
    <definedName name="_xlnm.Print_Area" localSheetId="1">'Memorial de cálculo'!$A$1:$I$699</definedName>
    <definedName name="_xlnm.Print_Titles" localSheetId="1">'Memorial de cálculo'!$1:$10</definedName>
  </definedNames>
  <calcPr calcId="144525"/>
</workbook>
</file>

<file path=xl/sharedStrings.xml><?xml version="1.0" encoding="utf-8"?>
<sst xmlns="http://schemas.openxmlformats.org/spreadsheetml/2006/main" count="2176" uniqueCount="648">
  <si>
    <t>Prefeitura Municipal de Santa Maria de Jetibá</t>
  </si>
  <si>
    <t>ESTADO DO ESPÍRITO SANTO</t>
  </si>
  <si>
    <t>Orçamento Básico - Secretaria Municipal de Educação</t>
  </si>
  <si>
    <t>Data Base</t>
  </si>
  <si>
    <t>DER-ES</t>
  </si>
  <si>
    <t>OBRA</t>
  </si>
  <si>
    <t>Reforma e ampliação EMPEIEF Barração do Rio Possmoser</t>
  </si>
  <si>
    <t>BDI</t>
  </si>
  <si>
    <t>LOCAL</t>
  </si>
  <si>
    <t>Barracão do Rio Possmoser</t>
  </si>
  <si>
    <t>LS</t>
  </si>
  <si>
    <t>ITEM</t>
  </si>
  <si>
    <t>REFERÊNCIA</t>
  </si>
  <si>
    <t>DESCRIÇÃO</t>
  </si>
  <si>
    <t>UNID.</t>
  </si>
  <si>
    <t>QUANTI.</t>
  </si>
  <si>
    <t>PREÇO REFERENCIAL</t>
  </si>
  <si>
    <t>PREÇO UNITARIO</t>
  </si>
  <si>
    <t>PREÇO TOTAL</t>
  </si>
  <si>
    <t>ÓRGÃO</t>
  </si>
  <si>
    <t>CÓDIGO</t>
  </si>
  <si>
    <t>1.0</t>
  </si>
  <si>
    <t>REFORMA</t>
  </si>
  <si>
    <t>1.1</t>
  </si>
  <si>
    <t>Instalação de canteiro de obras</t>
  </si>
  <si>
    <t>1.1.1</t>
  </si>
  <si>
    <t>020305</t>
  </si>
  <si>
    <t>Placa de obra nas dimensões de 2.0 x 4.0 m, padrão DER</t>
  </si>
  <si>
    <t>m²</t>
  </si>
  <si>
    <t>1.1.2</t>
  </si>
  <si>
    <t>020346</t>
  </si>
  <si>
    <t>Locação de andaime metálico para fachada - tipo torre (aluguel mensal)</t>
  </si>
  <si>
    <t>m</t>
  </si>
  <si>
    <t>1.1.3</t>
  </si>
  <si>
    <t>020708</t>
  </si>
  <si>
    <t>Galpão para serraria e carpintaria área 12.00m2, em peça de madeira 8x8cm e contraventamento de 5x7cm, cobertura de telha de fibroc. de 6mm, inclusive ponto e cabo de alimentação da máquina, conf. projeto (1 utilização)</t>
  </si>
  <si>
    <t>1.1.4</t>
  </si>
  <si>
    <t>020709</t>
  </si>
  <si>
    <t>Galpão para corte e armação com área de 6.00m2, em peças de madeira 8x8cm e contraventamento de 5x7cm, cobertura de telhas de fibroc. de 6mm, inclusive ponto e cabo de alimentação da máquina, conf. projeto (1 utilização)</t>
  </si>
  <si>
    <t>1.2</t>
  </si>
  <si>
    <t>Demoloções e Retiradas</t>
  </si>
  <si>
    <t>1.2.1</t>
  </si>
  <si>
    <t>010208</t>
  </si>
  <si>
    <t>Retirada de revestimento antigo em reboco</t>
  </si>
  <si>
    <t>1.2.2</t>
  </si>
  <si>
    <t>010238</t>
  </si>
  <si>
    <t>Apicoamento de superfície com revestimento em argamassa</t>
  </si>
  <si>
    <t>1.2.3</t>
  </si>
  <si>
    <t>010246</t>
  </si>
  <si>
    <t>Lixamento de parede com pintura antiga PVA para recebimento de nova camada de tinta</t>
  </si>
  <si>
    <t>1.2.4</t>
  </si>
  <si>
    <t>010214</t>
  </si>
  <si>
    <t>Retirada de portas e janelas de madeira, inclusive batentes</t>
  </si>
  <si>
    <t>1.2.5</t>
  </si>
  <si>
    <t>010215</t>
  </si>
  <si>
    <t>Retirada de esquadrias metálicas</t>
  </si>
  <si>
    <t>1.2.6</t>
  </si>
  <si>
    <t>010240</t>
  </si>
  <si>
    <t>Retirada de pontos elétricos (luminárias, interruptores e tomadas)</t>
  </si>
  <si>
    <t>und</t>
  </si>
  <si>
    <t>1.2.7</t>
  </si>
  <si>
    <t>010319</t>
  </si>
  <si>
    <t>Remoção de pintura antiga a base de óleo ou esmalte sobre esquadrias</t>
  </si>
  <si>
    <t>1.2.8</t>
  </si>
  <si>
    <t>010201</t>
  </si>
  <si>
    <t>Demolição de piso cimentado inclusive lastro de concreto</t>
  </si>
  <si>
    <t>1.2.9</t>
  </si>
  <si>
    <t>010224</t>
  </si>
  <si>
    <t>Retirada de grades, gradis, alambrados, cercas e portões</t>
  </si>
  <si>
    <t>1.2.10</t>
  </si>
  <si>
    <t>010209</t>
  </si>
  <si>
    <t>Demolição de alvenaria</t>
  </si>
  <si>
    <t>m³</t>
  </si>
  <si>
    <t>1.2.11</t>
  </si>
  <si>
    <t>010254</t>
  </si>
  <si>
    <t>Remoção de telha cerâmica, tipo francesa, inclusive cumeeira</t>
  </si>
  <si>
    <t>1.2.12</t>
  </si>
  <si>
    <t>010325</t>
  </si>
  <si>
    <t>Demolição de estrutura em madeira de telhado</t>
  </si>
  <si>
    <t>1.2.13</t>
  </si>
  <si>
    <t>010327</t>
  </si>
  <si>
    <t>Retirada de marco de madeira</t>
  </si>
  <si>
    <t>1.2.14</t>
  </si>
  <si>
    <t>010292</t>
  </si>
  <si>
    <t>Retirada de alizar de madeira</t>
  </si>
  <si>
    <t>1.2.15</t>
  </si>
  <si>
    <t>010271</t>
  </si>
  <si>
    <t>Retirada de caixas/quadros elétricos</t>
  </si>
  <si>
    <t>1.3</t>
  </si>
  <si>
    <t>Paredes e paineis</t>
  </si>
  <si>
    <t>1.3.1</t>
  </si>
  <si>
    <t>050301</t>
  </si>
  <si>
    <t>Verga/Contraverga de concreto armado 10x5 cm, Fck = 15Mpa, inclusive forma armação e desforma.</t>
  </si>
  <si>
    <t>1.3.2</t>
  </si>
  <si>
    <t>050606</t>
  </si>
  <si>
    <t>Alvenaria de blocos cerâmicos 10 furos 10x20x20cm, assentados c/argamassa de cimento, cal hidratada CH1 e areia traço 1:0,5:8, esp. das juntas 12mm e esp. das paredes s/revestimento, 10cm (bloco comprado na fábrica, posto obra).</t>
  </si>
  <si>
    <t>1.3.3</t>
  </si>
  <si>
    <t>050501</t>
  </si>
  <si>
    <t>Alvenaria de blocos de concreto estrut. (14x19x39cm) cheios, c/ resist. mín. compr. 15MPa, assentados c/ arg. de cimento e areia no traço 1:4, esp. juntas 10mm e esp. da parede s/ revest. 14cm</t>
  </si>
  <si>
    <t>1.4</t>
  </si>
  <si>
    <t>Esquadrias de madeira</t>
  </si>
  <si>
    <t>1.4.1</t>
  </si>
  <si>
    <t>060101</t>
  </si>
  <si>
    <t>Marco de madeira de lei de 1ª (Peroba, Ipê, Angelim Pedra ou equivalente) com 15x3 cm de batente, nas dimensões de 0.60 x 2.10 m</t>
  </si>
  <si>
    <t>1.4.2</t>
  </si>
  <si>
    <t>060102</t>
  </si>
  <si>
    <t>Marco de madeira de lei de 1ª (Peroba, Ipê, Angelim Pedra ou equivalente) com 15x3 cm de batente, nas dimensões de 0.70 x 2.10 m</t>
  </si>
  <si>
    <t>1.4.3</t>
  </si>
  <si>
    <t>060103</t>
  </si>
  <si>
    <t>Marco de madeira de lei de 1ª (Peroba, Ipê, Angelim Pedra ou equivalente) com 15x3 cm de batente, nas dimensões de 0.80 x 2.10 m</t>
  </si>
  <si>
    <t>1.4.4</t>
  </si>
  <si>
    <t>061301</t>
  </si>
  <si>
    <t>Porta em madeira de lei tipo angelim pedra ou equiv.c/enchimento em madeira 1a.qualidade esp. 30mm p/ pintura, inclusive alizares, dobradiças e fechadura externa em latão cromado LaFonte ou equiv., exclusive marco, nas dim.:0.60 x 2.10 m</t>
  </si>
  <si>
    <t>1.4.5</t>
  </si>
  <si>
    <t>061302</t>
  </si>
  <si>
    <t>Porta em madeira de lei tipo angelim pedra ou equiv.c/enchimento em madeira 1a.qualidade esp. 30mm p/ pintura, inclusive alizares, dobradiças e fechadura externa em latão cromado LaFonte ou equiv., exclusive marco, nas dim.:0.70 x 2.10 m</t>
  </si>
  <si>
    <t>1.4.6</t>
  </si>
  <si>
    <t>061303</t>
  </si>
  <si>
    <t>Porta em madeira de lei tipo angelim pedra ou equiv.c/enchimento em madeira 1a.qualidade esp. 30mm p/ pintura, inclusive alizares, dobradiças e fechadura externa em latão cromado LaFonte ou equiv., exclusive marco, nas dim.:0.80 x 2.10 m</t>
  </si>
  <si>
    <t>1.4.7</t>
  </si>
  <si>
    <t>062503</t>
  </si>
  <si>
    <t>Porta em madeira de lei tipo angelim pedra ou equiv.,esp. 35 mm, maciça c/ friso p/ verniz, padrão SEDU, com visor, inclusive alizares, dobradiças e fechadura de bola ext. em latão cromado LaFonte ou equiv., excl.marco, dimensões: 0.80 x 2.10 m</t>
  </si>
  <si>
    <t>1.5</t>
  </si>
  <si>
    <t>Esquadrias metálicas</t>
  </si>
  <si>
    <t>1.5.1</t>
  </si>
  <si>
    <t>071105</t>
  </si>
  <si>
    <t>Grade de ferro em barra chata, inclusive chumbamento</t>
  </si>
  <si>
    <t>1.5.2</t>
  </si>
  <si>
    <t>071701</t>
  </si>
  <si>
    <t>Janela de correr para vidro em alumínio anodizado cor natural, linha 25, completa, incl. puxador com tranca, alizar, caixilho e contramarco, exclusive vidro</t>
  </si>
  <si>
    <t>1.5.3</t>
  </si>
  <si>
    <t>071703</t>
  </si>
  <si>
    <t>Janela tipo maxim-ar para vidro em alumínio anodizado natural, linha 25, completa, incl. puxador com tranca, caixilho, alizar e contramarco, exclusive vidro</t>
  </si>
  <si>
    <t>1.5.4</t>
  </si>
  <si>
    <t>071104</t>
  </si>
  <si>
    <t>Portão de ferro de abrir em barra chata, inclusive chumbmento</t>
  </si>
  <si>
    <t>1.5.5</t>
  </si>
  <si>
    <t>071103</t>
  </si>
  <si>
    <t>Grade de tela tipo mosquiteiro de arame galvanizado #18, fio 32, inclusive, requadro em cantoneira de ferro 1/8"x1/2"x1/2"</t>
  </si>
  <si>
    <t>1.6</t>
  </si>
  <si>
    <t>Vidros</t>
  </si>
  <si>
    <t>1.6.1</t>
  </si>
  <si>
    <t>080102</t>
  </si>
  <si>
    <t>Vidro plano transparente liso, com 4 mm de espessura</t>
  </si>
  <si>
    <t>1.6.2</t>
  </si>
  <si>
    <t>080103</t>
  </si>
  <si>
    <t>Vidro fantasia mini-boreal, com 4 mm de espessura</t>
  </si>
  <si>
    <t>1.7</t>
  </si>
  <si>
    <t>Revestimento de parede</t>
  </si>
  <si>
    <t>1.7.1</t>
  </si>
  <si>
    <t>Chapisco de argamassa de cimento e areia média ou grossa lavada, no traço 1:3, espessura 5 mm</t>
  </si>
  <si>
    <t>1.7.2</t>
  </si>
  <si>
    <t>Azulejo branco 15 x 15 cm, juntas a prumo, assentado com argamassa de cimento colante, inclusive rejuntamento com cimento branco, marcas de referência Eliane, Cecrisa ou Portobello</t>
  </si>
  <si>
    <t>1.7.3</t>
  </si>
  <si>
    <t>Emboço de argamassa de cimento, cal hidratada CH1 e areia média ou grossa lavada no traço 1:0.5:6, espessura 20 mm</t>
  </si>
  <si>
    <t>1.7.4</t>
  </si>
  <si>
    <t>Reboco tipo paulista de argamassa de cimento, cal hidratada CH1 e areia média ou grossa lavada no traço 1:0.5:6, espessura 25 mm</t>
  </si>
  <si>
    <t>1.8</t>
  </si>
  <si>
    <t>Movimento de terra</t>
  </si>
  <si>
    <t>1.8.1</t>
  </si>
  <si>
    <t>030206</t>
  </si>
  <si>
    <t>Aterro manual para regularização do terreno em areia, inclusive adensamento hidráulico e fornecimento do material (máximo de 100m3)</t>
  </si>
  <si>
    <t>1.9</t>
  </si>
  <si>
    <t>Pisos externos e internos</t>
  </si>
  <si>
    <t>1.9.1</t>
  </si>
  <si>
    <t>Lastro regularizado de concreto não estrutural, espessura de 8cm</t>
  </si>
  <si>
    <t>1.9.2</t>
  </si>
  <si>
    <t>Piso cimentado liso com 1.5cm de espessura, de argamassa de cimento e areia
 no traço 1:3 e juntas plásticas em quadrados de 1m</t>
  </si>
  <si>
    <t>1.9.3</t>
  </si>
  <si>
    <t>Regularização de base p/ revestimento cerâmico, com argamassa de cimento e areia no traço 1:5, espessura 3cm</t>
  </si>
  <si>
    <t>1.9.4</t>
  </si>
  <si>
    <t>Piso cerâmico 45x45cm, PEI 5, Cargo Plus Gray, marcas de referência Eliane, Cecrisa ou Portobello, assentado com argamassa de cimento colante, inclusive rejuntamento</t>
  </si>
  <si>
    <t>1.10</t>
  </si>
  <si>
    <t>Instalações Elétricas</t>
  </si>
  <si>
    <t>1.10.1</t>
  </si>
  <si>
    <t>Abertura e fechamento de rasgos em alvenaria, para passagem de eletrodutos diâm. 1/2" a 1"</t>
  </si>
  <si>
    <t>1.10.2</t>
  </si>
  <si>
    <t>Eletroduto flexível corrugado 3/4" , marca de referência TIGRE</t>
  </si>
  <si>
    <t>1.10.3</t>
  </si>
  <si>
    <t>Quadro de distribuição de energia, de embutir, com 6 divisões modulares, com barramento trifásico 100A</t>
  </si>
  <si>
    <t>1.10.4</t>
  </si>
  <si>
    <t>Fio de cobre termoplástico, com isolamento para 750V, seção de 2.5 mm2</t>
  </si>
  <si>
    <t>1.10.5</t>
  </si>
  <si>
    <t>Luminaria sobrepor compl., corpo ch. aço pintada branca, refletor aletas parabólicas alum.alta pureza e refletância inclusive 2 lâmpadas LED T8 20W temp. de cor 5000k bivolt c/ 1,20m - Ref. CS232AL-N - AMES, 664 - LUMAVI OU EQUIVALENTE</t>
  </si>
  <si>
    <t>1.10.6</t>
  </si>
  <si>
    <t>Luminária para uma lâmpada fluorescente 20W, completa, c/ reator simples-127V partida rápida alto fator de potência, soquete antivibratório e lâmpada fluorescente 20W-127V</t>
  </si>
  <si>
    <t>1.10.7</t>
  </si>
  <si>
    <t>Tomada padrão brasileiro linha branca, NBR 14136 2 polos + terra 10A/250V, com placa 4x2"</t>
  </si>
  <si>
    <t>1.10.8</t>
  </si>
  <si>
    <t>Tomada padrão brasileiro linha branca, NBR 14136 2 polos + terra 20A/250V, com placa 4x2"</t>
  </si>
  <si>
    <t>1.10.9</t>
  </si>
  <si>
    <t>Interruptor de uma tecla simples 10A/250V, com placa 4x2"</t>
  </si>
  <si>
    <t>1.10.10</t>
  </si>
  <si>
    <t>Interruptor de duas teclas simples 10A/250V, com placa 4x2"</t>
  </si>
  <si>
    <t>1.10.11</t>
  </si>
  <si>
    <t>Espelho para caixa estampada 4 x 2"</t>
  </si>
  <si>
    <t>1.10.12</t>
  </si>
  <si>
    <t>Ventilador de teto base madeira sem alojamento para luminária, ref. Tron ou equivalente, com comando de interruptor simples, sem dimer para regulagem de velocidade</t>
  </si>
  <si>
    <t>1.10.13</t>
  </si>
  <si>
    <t>Ponto padrão de luz no teto - considerando eletroduto PVC rígido de 3/4" inclusive conexões (4.5m), fio isolado PVC de 2.5mm2 (16.2m) e caixa PVC 4x4" (1 und)</t>
  </si>
  <si>
    <t>1.10.14</t>
  </si>
  <si>
    <t>Ponto padrão de tomada 2 pólos mais terra - considerando eletroduto PVC rígido de 3/4" inclusive conexões (5.0m), fio isolado PVC de 2.5mm2 (16.5m) e caixa pvc 4x2" (1 und)</t>
  </si>
  <si>
    <t>1.10.15</t>
  </si>
  <si>
    <t>Ponto padrão de tomada para chuveiro elétrico - considerando eletroduto PVC rígido de 3/4" inclusive conexões (9.0m), fio isolado PVC de 6.0mm2 (32.5m) e caixa PVC 4x2" (1 und)</t>
  </si>
  <si>
    <t>1.10.16</t>
  </si>
  <si>
    <t>Quadro de distribuição de energia, de embutir, com 3 divisões modulares, sem barramento</t>
  </si>
  <si>
    <t>1.10.17</t>
  </si>
  <si>
    <t>Fio ou cabo de cobre termoplástico, com isolamento para 750V, seção de 16.0 mm2</t>
  </si>
  <si>
    <t>1.10.18</t>
  </si>
  <si>
    <t>Mini-Disjuntor bipolar 32 A, curva C - 5KA 220/127VCA (NBR IEC 60947-2), Ref. Siemens, GE, Schneider ou equivalente</t>
  </si>
  <si>
    <t>1.10.19</t>
  </si>
  <si>
    <t>Mini-Disjuntor bipolar 40 A, curva C - 5KA 220/127VCA (NBR IEC 60947-2), Ref. Siemens, GE, Schneider ou equivalente</t>
  </si>
  <si>
    <t>1.11</t>
  </si>
  <si>
    <t>Pintura</t>
  </si>
  <si>
    <t>1.11.1</t>
  </si>
  <si>
    <t>Pintura com tinta acrílica, marcas de referência Suvinil, Coral ou Metalatex, inclusive selador acrílico, em paredes e forros, a três demãos</t>
  </si>
  <si>
    <t>1.11.2</t>
  </si>
  <si>
    <t>Pintura com tinta acrílica, marcas de referência Suvinil, Coral e Metalatex, inclusive selador acrílico, em paredes e forros, a duas demãos</t>
  </si>
  <si>
    <t>1.11.3</t>
  </si>
  <si>
    <t>Pintura com tinta esmalte sintético, marcas de referência Suvinil, Coral ou Metalatex, a duas demãos, inclusive fundo anticorrosivo a uma demão, em metal</t>
  </si>
  <si>
    <t>1.11.4</t>
  </si>
  <si>
    <t>Pintura com tinta esmalte sintético, marcas de referência Suvinil, Coral ou Metalatex, inclusive fundo branco nivelador, em madeira, a duas demãos</t>
  </si>
  <si>
    <t>1.12</t>
  </si>
  <si>
    <t>Telhado</t>
  </si>
  <si>
    <t>1.12.1</t>
  </si>
  <si>
    <t>Infraestutura</t>
  </si>
  <si>
    <t>1.12.1.1</t>
  </si>
  <si>
    <t>030101</t>
  </si>
  <si>
    <t>Escavação manual em material de 1a. categoria, até 1.50 m de profundidade</t>
  </si>
  <si>
    <t>1.12.1.2</t>
  </si>
  <si>
    <t>030201</t>
  </si>
  <si>
    <t>Reaterro apiloado de cavas de fundação, em camadas de 20 cm</t>
  </si>
  <si>
    <t>1.12.1.3</t>
  </si>
  <si>
    <t>040206</t>
  </si>
  <si>
    <t>Fôrma de tábua de madeira de 2.5 x 30.0 cm para fundações, levando-se em conta a utilização 5 vezes (incluido o material, corte, montagem, escoramento e desforma)</t>
  </si>
  <si>
    <t>1.12.1.4</t>
  </si>
  <si>
    <t>040231</t>
  </si>
  <si>
    <t>Fornecimento, preparo e aplicação de concreto magro com consumo mínimo de cimento de 250 kg/m3 (brita 1 e 2) - (5% de perdas já incluído no custo)</t>
  </si>
  <si>
    <t>1.12.1.5</t>
  </si>
  <si>
    <t>040237</t>
  </si>
  <si>
    <t>Fornecimento, preparo e aplicação de concreto Fck=25 MPa (brita 1 e 2) - (5% de perdas já incluído no custo)</t>
  </si>
  <si>
    <t>1.12.1.6</t>
  </si>
  <si>
    <t>040243</t>
  </si>
  <si>
    <t>Fornecimento, dobragem e colocação em fôrma, de armadura CA-50 A média, diâmetro de 6.3 a 10.0 mm</t>
  </si>
  <si>
    <t>Kg</t>
  </si>
  <si>
    <t>1.12.1.7</t>
  </si>
  <si>
    <t>040246</t>
  </si>
  <si>
    <t>Fornecimento, dobragem e colocação em fôrma, de armadura CA-60 B fina, diâmetro de 4.0 a 7.0mm</t>
  </si>
  <si>
    <t>1.12.2</t>
  </si>
  <si>
    <t>Superestrutura</t>
  </si>
  <si>
    <t>1.12.2.1</t>
  </si>
  <si>
    <t>040324</t>
  </si>
  <si>
    <t>1.12.2.2</t>
  </si>
  <si>
    <t>040328</t>
  </si>
  <si>
    <t>1.12.2.3</t>
  </si>
  <si>
    <t>040339</t>
  </si>
  <si>
    <t>Forma de chapas madeira compensada resinada, esp. 12mm, levando-se em conta a utilização 3 vezes, reforçadas com sarrafos de madeira de 2.5 x 10.0cm (incl material, corte, montagem, escoras em eucalipto e desforma)</t>
  </si>
  <si>
    <t>1.12.2.4</t>
  </si>
  <si>
    <t>040333</t>
  </si>
  <si>
    <t>1.12.3</t>
  </si>
  <si>
    <t>Tesoura e telhas</t>
  </si>
  <si>
    <t>1.12.3.1</t>
  </si>
  <si>
    <t>090104</t>
  </si>
  <si>
    <t>Estrutura de madeira de lei tipo Paraju, peroba mica, angelim pedra ou equivalente para telhado de telhas cerâmicas tipo capa e canal c/ tesouras, pilares, vigas, terças, caibros e ripas, incl. trat. c/cupinicida, exclusive telhas</t>
  </si>
  <si>
    <t>1.12.3.2</t>
  </si>
  <si>
    <t>090212</t>
  </si>
  <si>
    <t>Cobertura nova de telhas cerâmicas tipo capa e canal inclusive cumeeiras (telhas compradas na fábrica, posto obra)</t>
  </si>
  <si>
    <t>1.12.3.3</t>
  </si>
  <si>
    <t>090302</t>
  </si>
  <si>
    <t>Rufo de chapa metálica nº 26 com largura de 30 cm</t>
  </si>
  <si>
    <t>1.13</t>
  </si>
  <si>
    <t>Tetos e forros</t>
  </si>
  <si>
    <t>1.13.1</t>
  </si>
  <si>
    <t>Forro PVC branco L = 20 cm, frisado, colocado</t>
  </si>
  <si>
    <t>1.14</t>
  </si>
  <si>
    <t>Serviços complementares externo</t>
  </si>
  <si>
    <t>1.14.1</t>
  </si>
  <si>
    <t>Cerca H=2.30cm, c/tela losang. arame fio 12 malha 2" revest. em PVC com mourão curvo de concreto H=3,20m, secção T, fixado emsolo, a cada 3m, c/3 fios de arame farpado na parte curva, incl 3 fios tensores, chumbadores e sapata de 40x40x50cm</t>
  </si>
  <si>
    <t>1.14.2</t>
  </si>
  <si>
    <t>Passeio de cimentado camurçado com argamassa de cimento e areia no traço 1:3 esp. 1.5cm, e lastro de concreto com 8cm de espessura, inclusive preparo de caixa</t>
  </si>
  <si>
    <t>1.14.3</t>
  </si>
  <si>
    <t>Placa para inauguração de obra em alumínio polido e=4mm, dimensões 40 x 50 cm, gravação em baixo relevo, inclusive pintura e fixação</t>
  </si>
  <si>
    <t>1.14.4</t>
  </si>
  <si>
    <t>-</t>
  </si>
  <si>
    <t>COMP. A1</t>
  </si>
  <si>
    <t>Confecção e instalação de placa em acm adesivada com aplicação de verniz, estrutra em metalon galvanizado medindo 3,2 x 0,7</t>
  </si>
  <si>
    <t>1.15</t>
  </si>
  <si>
    <t>Tratamento, conservação e limpeza</t>
  </si>
  <si>
    <t>1.15.1</t>
  </si>
  <si>
    <t>Limpeza geral da obra (edificação)</t>
  </si>
  <si>
    <t>1.16</t>
  </si>
  <si>
    <t>Serviços complementares internos</t>
  </si>
  <si>
    <t>1.16.1</t>
  </si>
  <si>
    <t>Quadro pincel novo, completo, de laminado melamínico alta pressão, "LOUSA" quadriculado, cor branco brilhante, linha Lousas, padrão F608 Brancoline, esp. 1mm, incl. requadro madeira 2.5 x 5.0 cm e porta pincel, dim. 3.95 x 1.29 m</t>
  </si>
  <si>
    <t>Subtotal reforma</t>
  </si>
  <si>
    <t>2.0</t>
  </si>
  <si>
    <t>Ampliação</t>
  </si>
  <si>
    <t>2.1</t>
  </si>
  <si>
    <t>Serviços preliminares</t>
  </si>
  <si>
    <t>2.1.1</t>
  </si>
  <si>
    <t>010402</t>
  </si>
  <si>
    <t>Raspagem e limpeza do terreno (manual)</t>
  </si>
  <si>
    <t>2.1.2</t>
  </si>
  <si>
    <t>010501</t>
  </si>
  <si>
    <t>Locação de obra com gabarito de madeira</t>
  </si>
  <si>
    <t>2.2</t>
  </si>
  <si>
    <t>2.2.1</t>
  </si>
  <si>
    <t>2.2.2</t>
  </si>
  <si>
    <t>2.2.3</t>
  </si>
  <si>
    <t>2.3</t>
  </si>
  <si>
    <t>Estrutura</t>
  </si>
  <si>
    <t>2.3.1</t>
  </si>
  <si>
    <t>Infraestrutura</t>
  </si>
  <si>
    <t>2.3.1.1</t>
  </si>
  <si>
    <t>2.3.1.2</t>
  </si>
  <si>
    <t>2.3.1.3</t>
  </si>
  <si>
    <t>2.3.1.4</t>
  </si>
  <si>
    <t>2.3.1.5</t>
  </si>
  <si>
    <t>040249</t>
  </si>
  <si>
    <t>Fôrma de tábua de madeira de 2.5x30.0cm, levando-se em conta utilização 1 vez (incluindo o material, corte, montagem, escoramento e desforma)</t>
  </si>
  <si>
    <t>2.3.2</t>
  </si>
  <si>
    <t>2.3.2.1</t>
  </si>
  <si>
    <t>2.3.2.2</t>
  </si>
  <si>
    <t>2.3.2.3</t>
  </si>
  <si>
    <t>2.3.2.4</t>
  </si>
  <si>
    <t>2.3.2.5</t>
  </si>
  <si>
    <t>040705</t>
  </si>
  <si>
    <t>Execução de junta de dilatação 2 x 2 cm considerando 1cm de aplicação de isopor e 1cm de aplicação de mastique elástico do tipo sikaflex 1a ou equivalente</t>
  </si>
  <si>
    <t>2.4</t>
  </si>
  <si>
    <t>Paredes e painéis</t>
  </si>
  <si>
    <t>2.4.1</t>
  </si>
  <si>
    <t>Verga/contraverga reta de concreto armado 10 x 5 cm, Fck = 15 MPa, inclusive forma, armação e desforma</t>
  </si>
  <si>
    <t>2.4.2</t>
  </si>
  <si>
    <t>Alvenaria de blocos cerâmicos 10 furos 10x20x20cm, assentados c/argamassa de cimento, cal hidratada CH1 e areia traço 1:0,5:8, esp. das juntas 12mm e esp. das paredes s/revestimento, 10cm (bloco comprado na fábrica, posto obra)</t>
  </si>
  <si>
    <t>2.5</t>
  </si>
  <si>
    <t>2.5.1</t>
  </si>
  <si>
    <t>2.5.2</t>
  </si>
  <si>
    <t>2.5.3</t>
  </si>
  <si>
    <t>2.5.4</t>
  </si>
  <si>
    <t>2.6</t>
  </si>
  <si>
    <t>Vidro</t>
  </si>
  <si>
    <t>2.6.1</t>
  </si>
  <si>
    <t>2.7</t>
  </si>
  <si>
    <t>Cobertura</t>
  </si>
  <si>
    <t>2.7.1</t>
  </si>
  <si>
    <t>2.7.2</t>
  </si>
  <si>
    <t>2.7.3</t>
  </si>
  <si>
    <t>2.8</t>
  </si>
  <si>
    <t>2.8.1</t>
  </si>
  <si>
    <t>2.9</t>
  </si>
  <si>
    <t>Revestimento de paredes</t>
  </si>
  <si>
    <t>2.9.1</t>
  </si>
  <si>
    <t>2.9.2</t>
  </si>
  <si>
    <t>2.9.3</t>
  </si>
  <si>
    <t>2.9.4</t>
  </si>
  <si>
    <t>2.10</t>
  </si>
  <si>
    <t>2.10.1</t>
  </si>
  <si>
    <t>2.10.2</t>
  </si>
  <si>
    <t>Lastro impermeabilizado de concreto não estrutural, espessura de 8cm</t>
  </si>
  <si>
    <t>2.10.3</t>
  </si>
  <si>
    <t>2.11</t>
  </si>
  <si>
    <t>2.11.1</t>
  </si>
  <si>
    <t>2.11.2</t>
  </si>
  <si>
    <t>Mini-Disjuntor bipolar 20 A, curva C - 5KA 220/127VCA (NBR IEC 60947-2), Ref. Siemens, GE, Schneider ou equivalente</t>
  </si>
  <si>
    <t>2.11.3</t>
  </si>
  <si>
    <t>Interruptor Diferencial DR 25A, 30mA, 2 módulos</t>
  </si>
  <si>
    <t>2.11.4</t>
  </si>
  <si>
    <t>Fio ou cabo de cobre termoplástico, com isolamento para 750V, seção de 6.0 mm2</t>
  </si>
  <si>
    <t>2.11.5</t>
  </si>
  <si>
    <t>2.11.6</t>
  </si>
  <si>
    <t>2.11.7</t>
  </si>
  <si>
    <t>Ponto padrão de interruptor de 1 tecla simples e 1 tomada dois pólos mais terra 10A/250V - considerando eletroduto PVC rígido de 3/4" inclusive conexões (4.5m), fio isolado PVC de 2.5mm2 (19.4m) e caixa PVC 4x2" (1 und)</t>
  </si>
  <si>
    <t>2.11.8</t>
  </si>
  <si>
    <t>Caixa de aterramento de concreto simples, nas dimensões de 30x30x25cm, com revest. int. em chapisco e reboco, tampa de concreto esp.5cm e lastro de brita esp. 5 cm, incl. haste 5/8"x2400mm</t>
  </si>
  <si>
    <t>2.11.9</t>
  </si>
  <si>
    <t>Eletroduto de PVC rígido roscável, diâm. 1/2" (20mm), inclusive conexões</t>
  </si>
  <si>
    <t>2.11.10</t>
  </si>
  <si>
    <t>2.12</t>
  </si>
  <si>
    <t>Aparelhos Elétricos</t>
  </si>
  <si>
    <t>2.12.1</t>
  </si>
  <si>
    <t>2.12.2</t>
  </si>
  <si>
    <t>Interruptor de uma tecla simples 10A/250V e uma tomada 3 polos 10A/250V, padrão brasileiro, NBR 14136, linha branca, com placa 4x2"</t>
  </si>
  <si>
    <t>2.12.3</t>
  </si>
  <si>
    <t>2.13</t>
  </si>
  <si>
    <t>2.13.1</t>
  </si>
  <si>
    <t>2.13.2</t>
  </si>
  <si>
    <t>2.14</t>
  </si>
  <si>
    <t>Serviços complementares externos</t>
  </si>
  <si>
    <t>2.14.1</t>
  </si>
  <si>
    <t>2.15</t>
  </si>
  <si>
    <t>2.15.1</t>
  </si>
  <si>
    <t>2.16</t>
  </si>
  <si>
    <t>2.16.1</t>
  </si>
  <si>
    <t>Prateleiras em granito cinza andorinha, esp. 2cm</t>
  </si>
  <si>
    <t>2.16.2</t>
  </si>
  <si>
    <t>SINAPI</t>
  </si>
  <si>
    <t>Suporte mão francesa em aço, abas iguais 40cm, capacidade mínima 70Kg, branco - fornecimento e instalação. AF_10/2020</t>
  </si>
  <si>
    <t>Subtotal ampliação</t>
  </si>
  <si>
    <t>Total</t>
  </si>
  <si>
    <t>Reforma e ampliação da EMPEIEF Baração do Rio Possmoser</t>
  </si>
  <si>
    <t>DESCRIÇÃO DOS SERVIÇOS</t>
  </si>
  <si>
    <t>CÁLCULOS DE QUANTIDADES</t>
  </si>
  <si>
    <t>UND.</t>
  </si>
  <si>
    <t>CÁLCULOS E INDICAÇÕES</t>
  </si>
  <si>
    <t>TOTAL</t>
  </si>
  <si>
    <t>comp. (m)</t>
  </si>
  <si>
    <t>Larg. (m)</t>
  </si>
  <si>
    <t>Alt. (m)</t>
  </si>
  <si>
    <t>qtd (und)</t>
  </si>
  <si>
    <t>Total (m²)</t>
  </si>
  <si>
    <t>Dimensões</t>
  </si>
  <si>
    <t>Total (m)</t>
  </si>
  <si>
    <t>ampliação telhado novo</t>
  </si>
  <si>
    <t>aberturas (m)</t>
  </si>
  <si>
    <t>Sala de Aula anexa Grande</t>
  </si>
  <si>
    <t>2x</t>
  </si>
  <si>
    <t>Salas de Aulas originais</t>
  </si>
  <si>
    <t>OBS: Aberturas abaixo de 1,1m incluindo portas,</t>
  </si>
  <si>
    <t>Pátio Coberto</t>
  </si>
  <si>
    <t>janelas e vãos</t>
  </si>
  <si>
    <t>Circulação</t>
  </si>
  <si>
    <t>Hall banheiros</t>
  </si>
  <si>
    <t>Sala Professores</t>
  </si>
  <si>
    <t>Sala de Aula anexa Pequena</t>
  </si>
  <si>
    <t>repetições</t>
  </si>
  <si>
    <t>Sala de Aula anexa G</t>
  </si>
  <si>
    <t>Pátio descoberto</t>
  </si>
  <si>
    <t>hall de acesso salas novas</t>
  </si>
  <si>
    <t>Varanda</t>
  </si>
  <si>
    <t>Sala Professores (área atual)</t>
  </si>
  <si>
    <t>conforme projeto</t>
  </si>
  <si>
    <t>aberturas (m²)</t>
  </si>
  <si>
    <t>Áreas internas</t>
  </si>
  <si>
    <t>OBS: Aberturas acima de 1,1m incluindo portas,</t>
  </si>
  <si>
    <t>Áreas externas</t>
  </si>
  <si>
    <t>Perimetro(m)</t>
  </si>
  <si>
    <t>altura (m)</t>
  </si>
  <si>
    <t>Área(m²)</t>
  </si>
  <si>
    <t>Aberturas (m²)</t>
  </si>
  <si>
    <t>Paredes frontais sob telhado cerâmico</t>
  </si>
  <si>
    <t>Parede frontal fora do telhado cerâmico</t>
  </si>
  <si>
    <t>paredes laterais (esquerda)</t>
  </si>
  <si>
    <t>Paredes laterais (direita)</t>
  </si>
  <si>
    <t>Lateral esquerda (pátio descoberto)</t>
  </si>
  <si>
    <t>Lateral direita (pátio descoberto)</t>
  </si>
  <si>
    <t>parede Fundos sob telhado cerâmico</t>
  </si>
  <si>
    <t>parede Fundos anexo</t>
  </si>
  <si>
    <t>Lixamento de lajes</t>
  </si>
  <si>
    <t>Repintura das lajes (nao repintar onde será forro agora - cozinha e sala prof.)</t>
  </si>
  <si>
    <t>ÁREA DE LAJE</t>
  </si>
  <si>
    <t>Janelas (m²)</t>
  </si>
  <si>
    <t>Portas(m²)</t>
  </si>
  <si>
    <t>qtd (m²)</t>
  </si>
  <si>
    <t>Banheiros</t>
  </si>
  <si>
    <t>Sala Professores (incluindo banheiro)</t>
  </si>
  <si>
    <t>Cozinha</t>
  </si>
  <si>
    <t>Banheiro prof</t>
  </si>
  <si>
    <t>Total (und)</t>
  </si>
  <si>
    <t>Cozinha + dispensa</t>
  </si>
  <si>
    <t>Grades (m²)</t>
  </si>
  <si>
    <t>Portão(m²)</t>
  </si>
  <si>
    <t>Janelas externas (1,2x1,8)</t>
  </si>
  <si>
    <t>Básculas externas (0,6x0,6)</t>
  </si>
  <si>
    <t>Área (m²)</t>
  </si>
  <si>
    <t>Calçada frontal até o pátio</t>
  </si>
  <si>
    <t>Calçada</t>
  </si>
  <si>
    <t>qtd</t>
  </si>
  <si>
    <t>Pátio coberto</t>
  </si>
  <si>
    <t>Janela existente 1,2x1,0</t>
  </si>
  <si>
    <t>Janela existente 1,8x1,2</t>
  </si>
  <si>
    <t>Báscula cozinha (1,60x0,6)</t>
  </si>
  <si>
    <t>Portão de acesso para pedestres</t>
  </si>
  <si>
    <t>Gradil proximo ao portão de acesso</t>
  </si>
  <si>
    <t>espessura</t>
  </si>
  <si>
    <t>Sala de Aula anexa G (aberturas de janela existente)</t>
  </si>
  <si>
    <t>Sala de Aula anexa G (abert. verga/co.ver)</t>
  </si>
  <si>
    <t>Sala de Aula anexa G (aberturas de janela nova)</t>
  </si>
  <si>
    <t>Sala de Aula Anexa P (aberturas de janela existente)</t>
  </si>
  <si>
    <t>Sala de Aula anexa P (abert. verga/co.ver)</t>
  </si>
  <si>
    <t>Sala de Aula anexa P (aberturas de janela nova)</t>
  </si>
  <si>
    <t>Báscula salas originais (abertura nova)</t>
  </si>
  <si>
    <t>Salas originais (abert. verga/co.ver janela)</t>
  </si>
  <si>
    <t>Salas originais (abert. verga/co.ver bascula)</t>
  </si>
  <si>
    <t xml:space="preserve"> Sala dos professores (parte da reforma abertura janela nova)</t>
  </si>
  <si>
    <t xml:space="preserve"> Sala dos professores (parte da reforma abertura janela nova)(verg/con. verg)</t>
  </si>
  <si>
    <t>Sala dos professores paredes demolidas</t>
  </si>
  <si>
    <t>banheiros verg/con. verg)</t>
  </si>
  <si>
    <t>Cozinha + dispensa paredes</t>
  </si>
  <si>
    <t>Cozinha + dispensa abertura de parede</t>
  </si>
  <si>
    <t>Cozinha + dispensa verga/contraverga</t>
  </si>
  <si>
    <t>Instalação de novo quadro de distribuição</t>
  </si>
  <si>
    <t>Telhado sobre a varanda</t>
  </si>
  <si>
    <t>QD existente (pátio)</t>
  </si>
  <si>
    <t>Transpasse</t>
  </si>
  <si>
    <t>qntd</t>
  </si>
  <si>
    <t>ver tamanho das novas janelas no pátio coberto</t>
  </si>
  <si>
    <t>J2 (1,8x1,4)</t>
  </si>
  <si>
    <t>J3 (2,0x1,2)</t>
  </si>
  <si>
    <t>B3 (1,6x0,6)</t>
  </si>
  <si>
    <t>P2 (cozinha) (70x210)</t>
  </si>
  <si>
    <t>Aberturas</t>
  </si>
  <si>
    <t>Fechamento das paredes frontais</t>
  </si>
  <si>
    <t>Fechamento telhado novo</t>
  </si>
  <si>
    <t>Paredes novas dentro da cozinha</t>
  </si>
  <si>
    <t>Blocos de apoio do aterro do pátio</t>
  </si>
  <si>
    <t>Sala professores</t>
  </si>
  <si>
    <t>Despensa</t>
  </si>
  <si>
    <t>transpasse(m)</t>
  </si>
  <si>
    <t>Janelas cozinha como vai ficar?</t>
  </si>
  <si>
    <t>B3 (1,6x0,6) (somente a externa)</t>
  </si>
  <si>
    <t>B5 (1,4x0,7) (cozinha)</t>
  </si>
  <si>
    <t>J1 (1,8x1,2)</t>
  </si>
  <si>
    <t>B1 (0,6x0,6)</t>
  </si>
  <si>
    <t>B2 (0,5x0,5)</t>
  </si>
  <si>
    <t>P5 (0,8x2,1)</t>
  </si>
  <si>
    <t>Portão novo na entrada da escola para pedestre</t>
  </si>
  <si>
    <t>Passa-prato (G1)(1,00x0,80)</t>
  </si>
  <si>
    <t>Área efetiva vidro (m²)</t>
  </si>
  <si>
    <t>interno e externo?</t>
  </si>
  <si>
    <t>Fechamento das paredes frontais novas</t>
  </si>
  <si>
    <t>sim</t>
  </si>
  <si>
    <t>area</t>
  </si>
  <si>
    <t>Novo revestimento das áreas que foram retiradas o reboco antigo</t>
  </si>
  <si>
    <t>Blocos de apoio do pátio</t>
  </si>
  <si>
    <t>Paredes novas despensa</t>
  </si>
  <si>
    <t>Chapísco</t>
  </si>
  <si>
    <t>Emboço</t>
  </si>
  <si>
    <t>Chapisco - emboço</t>
  </si>
  <si>
    <t>Rampa acesso escola</t>
  </si>
  <si>
    <t>Rampa acesso pátio</t>
  </si>
  <si>
    <t>ÁREA DE REFORMA</t>
  </si>
  <si>
    <t>Sala dos professores</t>
  </si>
  <si>
    <t>qtd (F+N+T)</t>
  </si>
  <si>
    <t>Varanda + pátio</t>
  </si>
  <si>
    <t>Sala Professores + banheiro prof</t>
  </si>
  <si>
    <t>Pátio descoberto + varanda</t>
  </si>
  <si>
    <t>Cozinha (torneira elétrica)</t>
  </si>
  <si>
    <t>QD geral</t>
  </si>
  <si>
    <t>Chapisco (m²)</t>
  </si>
  <si>
    <t>Emboço(m²)</t>
  </si>
  <si>
    <t>Troca dos fios do padrão de entrada</t>
  </si>
  <si>
    <t>QD geral -&gt; QDN</t>
  </si>
  <si>
    <t>QD geral -&gt; QDE</t>
  </si>
  <si>
    <t>Despensa (ambos os lados)</t>
  </si>
  <si>
    <t>Parede frontal for do telhado cerâmico</t>
  </si>
  <si>
    <t>Lajes</t>
  </si>
  <si>
    <t>coeficiente</t>
  </si>
  <si>
    <t>Novas grades e Portões</t>
  </si>
  <si>
    <t>Grades que serão mantidas</t>
  </si>
  <si>
    <t>Área de portas</t>
  </si>
  <si>
    <t>Coeficiente</t>
  </si>
  <si>
    <t>60x210</t>
  </si>
  <si>
    <t>70x210</t>
  </si>
  <si>
    <t>80x210</t>
  </si>
  <si>
    <t>Batente 60x210</t>
  </si>
  <si>
    <t>Batente 70x210</t>
  </si>
  <si>
    <t>Batente 80x210</t>
  </si>
  <si>
    <t>Prof. (m)</t>
  </si>
  <si>
    <t>Sapata pilar apoio telhado (0,6x0,9)</t>
  </si>
  <si>
    <t>Sapata pilar apoio telhado (0,6x0,9x0,3)</t>
  </si>
  <si>
    <t>Sapata (concreto)</t>
  </si>
  <si>
    <t>Pilarete (concreto)</t>
  </si>
  <si>
    <t>Sapata pilar apoio telhado (0,8x0,8x0,4)</t>
  </si>
  <si>
    <t>Kg/m</t>
  </si>
  <si>
    <t>m/ und</t>
  </si>
  <si>
    <t>Sapata (S1 e S2) bitola 10mm</t>
  </si>
  <si>
    <t>Pilarete (S1 e S2) bitola 10mm</t>
  </si>
  <si>
    <t>Pilarete (S1 e S2) bitola 5mm</t>
  </si>
  <si>
    <t>Pilar (14x30x3,20)</t>
  </si>
  <si>
    <t>Viga (12x30x800)</t>
  </si>
  <si>
    <t>m/und</t>
  </si>
  <si>
    <t>Pilar (P1 e P2) bitola 10mm</t>
  </si>
  <si>
    <t>Viga 12x30 bitola 8mm</t>
  </si>
  <si>
    <t>Viga 12x30</t>
  </si>
  <si>
    <t>Pilar (P1 e P2) bitola 5mm</t>
  </si>
  <si>
    <t>Viga 12x30 bitola 5mm</t>
  </si>
  <si>
    <t>Telhado novo fechamento)</t>
  </si>
  <si>
    <t>Sala anexa pequena telhado</t>
  </si>
  <si>
    <t>Cozinha + despensa</t>
  </si>
  <si>
    <t>Unidades</t>
  </si>
  <si>
    <t>Placa de identificação da escola</t>
  </si>
  <si>
    <t>Reforma</t>
  </si>
  <si>
    <t>Sala de aula pequen</t>
  </si>
  <si>
    <t>Ampliação nova</t>
  </si>
  <si>
    <t>Sapatas (SP3~SP5) (0,9X1,1)</t>
  </si>
  <si>
    <t>Cintas(0,14x0,3)</t>
  </si>
  <si>
    <t>Sapatas (SP3~SP5) (0,9X1,1) (concreto)</t>
  </si>
  <si>
    <t>Cintas(0,14x0,3) (concreto)</t>
  </si>
  <si>
    <t>Pilaretes (P3~P5)(14x30) (concreto)</t>
  </si>
  <si>
    <t>Total (m³)</t>
  </si>
  <si>
    <t>Sapatas (SP3~SP5) (0,9X1,1) bitola 10mm</t>
  </si>
  <si>
    <t>Cintas(0,14x0,3)(V2~V4) bitola 8mm</t>
  </si>
  <si>
    <t>Cintas(0,14x0,3)(V5) bitola 8mm</t>
  </si>
  <si>
    <t>Pilaretes (P3~P5)(14x30) bitola 10mm</t>
  </si>
  <si>
    <t>Cintas(0,14x0,3)(V2~V4) bitola 5mm</t>
  </si>
  <si>
    <t>Cintas(0,14x0,3)(V5) bitola 5mm</t>
  </si>
  <si>
    <t>Pilaretes (P3~P5)(14x30) bitola 5mm</t>
  </si>
  <si>
    <t>Vigas (V2~V4)</t>
  </si>
  <si>
    <t>Viga (V5)</t>
  </si>
  <si>
    <t>Pilar (P3~P5)</t>
  </si>
  <si>
    <t>Total (Kg)</t>
  </si>
  <si>
    <t>amplição com a estrtura atiga (piso)</t>
  </si>
  <si>
    <t>Vigas + cintas</t>
  </si>
  <si>
    <t>B4 (1,0x0,5)</t>
  </si>
  <si>
    <t>Paredes ampliação</t>
  </si>
  <si>
    <t xml:space="preserve">Ampliação </t>
  </si>
  <si>
    <t>despensa</t>
  </si>
  <si>
    <t>Paredes ampliação (2x para ambos os lados)</t>
  </si>
  <si>
    <t>Circuito 2</t>
  </si>
  <si>
    <t>Circuito 1</t>
  </si>
  <si>
    <t>conexão entre o QG e o QDN</t>
  </si>
  <si>
    <t>Ligação entreo o QDN e a caixa de aterramento</t>
  </si>
  <si>
    <t>Ponto luz despensa</t>
  </si>
  <si>
    <t>Tomada microondas (sala professores)</t>
  </si>
  <si>
    <t>TUG sala professores</t>
  </si>
  <si>
    <t>ligação entre o QDN e a caixa de aterramento</t>
  </si>
  <si>
    <t>ligação entre os dois QD novos</t>
  </si>
  <si>
    <t>Sala professores (microondas)</t>
  </si>
  <si>
    <t>Paredes novas amplição (emboço)</t>
  </si>
  <si>
    <t>Calçada nova ampliação</t>
  </si>
  <si>
    <t>Prateleiras despensa</t>
  </si>
  <si>
    <t>quantidade por linha</t>
  </si>
  <si>
    <t>SECRETARIA DE EDUCAÇÃO</t>
  </si>
  <si>
    <t>Rua Dalmácio Espíndula, 115 – Centro, Santa Maria de Jetibá - ES</t>
  </si>
  <si>
    <t>PREFEITURA MUNICIPAL DE SANTA MARIA DE JETIBÁ</t>
  </si>
  <si>
    <t>FORMA DE EXECUÇÃO:</t>
  </si>
  <si>
    <t>OBRA: REFORMA E AMPLIAÇÃO DA  EMPEIEF RIO POSSMOSER</t>
  </si>
  <si>
    <t>(  )</t>
  </si>
  <si>
    <t>DIRETA</t>
  </si>
  <si>
    <t>( x )</t>
  </si>
  <si>
    <t>INDIRETA</t>
  </si>
  <si>
    <t>LOCAL: Barração do Rio Possmoser - Santa Maria de Jetibá/ES</t>
  </si>
  <si>
    <t>BDI:</t>
  </si>
  <si>
    <t>REFERÊNCIAS: DER-ES FEV/2022</t>
  </si>
  <si>
    <t>VALOR DA OBRA:</t>
  </si>
  <si>
    <t>CRONOGRAMA FÍSICO-FINANCEIRO</t>
  </si>
  <si>
    <t xml:space="preserve"> SERVIÇO</t>
  </si>
  <si>
    <t>VALOR DOS SERVIÇOS</t>
  </si>
  <si>
    <t>MÊS 01</t>
  </si>
  <si>
    <t>MÊS 02</t>
  </si>
  <si>
    <t>MÊS 03</t>
  </si>
  <si>
    <t>MÊS 04</t>
  </si>
  <si>
    <t>MÊS 05</t>
  </si>
  <si>
    <t>VALOR TOTAL</t>
  </si>
  <si>
    <t>Parcial</t>
  </si>
  <si>
    <t>Acumulado</t>
  </si>
  <si>
    <t>Brayan Lucas Denardi</t>
  </si>
  <si>
    <t>ENGENHEIRO CIVIL - CREA - ES 48696/D</t>
  </si>
</sst>
</file>

<file path=xl/styles.xml><?xml version="1.0" encoding="utf-8"?>
<styleSheet xmlns="http://schemas.openxmlformats.org/spreadsheetml/2006/main">
  <numFmts count="13">
    <numFmt numFmtId="176" formatCode="_-* #,##0.000_-;\-* #,##0.000_-;_-* &quot;-&quot;??.00_-;_-@_-"/>
    <numFmt numFmtId="177" formatCode="[$R$-416]\ #,##0.00"/>
    <numFmt numFmtId="178" formatCode="0.00_ "/>
    <numFmt numFmtId="179" formatCode="&quot;R$&quot;\ #,##0.00;\-&quot;R$&quot;\ #,##0.00"/>
    <numFmt numFmtId="180" formatCode="0.0_ "/>
    <numFmt numFmtId="181" formatCode="_-* #,##0.00_-;\-* #,##0.00_-;_-* &quot;-&quot;??_-;_-@_-"/>
    <numFmt numFmtId="182" formatCode="_-&quot;R$&quot;\ * #,##0_-;\-&quot;R$&quot;\ * #,##0_-;_-&quot;R$&quot;\ * &quot;-&quot;_-;_-@_-"/>
    <numFmt numFmtId="183" formatCode="_-* #,##0_-;\-* #,##0_-;_-* &quot;-&quot;_-;_-@_-"/>
    <numFmt numFmtId="184" formatCode="_-&quot;R$&quot;\ * #,##0.00_-;\-&quot;R$&quot;\ * #,##0.00_-;_-&quot;R$&quot;\ * &quot;-&quot;??_-;_-@_-"/>
    <numFmt numFmtId="185" formatCode="_-* #,##0_-;\-* #,##0_-;_-* &quot;-&quot;??_-;_-@_-"/>
    <numFmt numFmtId="186" formatCode="_-* #,##0.00_-;\-* #,##0.00_-;_-* &quot;-&quot;??.0_-;_-@_-"/>
    <numFmt numFmtId="187" formatCode="_-* #,##0.000_-;\-* #,##0.000_-;_-* &quot;-&quot;??.0_-;_-@_-"/>
    <numFmt numFmtId="188" formatCode="0.0000_ "/>
  </numFmts>
  <fonts count="43">
    <font>
      <sz val="11"/>
      <color theme="1"/>
      <name val="Calibri"/>
      <charset val="134"/>
      <scheme val="minor"/>
    </font>
    <font>
      <sz val="10"/>
      <name val="Arial"/>
      <charset val="134"/>
    </font>
    <font>
      <b/>
      <sz val="11"/>
      <color theme="1"/>
      <name val="Calibri"/>
      <charset val="134"/>
      <scheme val="minor"/>
    </font>
    <font>
      <b/>
      <sz val="20"/>
      <name val="Arial"/>
      <charset val="134"/>
    </font>
    <font>
      <b/>
      <sz val="12"/>
      <name val="Arial"/>
      <charset val="134"/>
    </font>
    <font>
      <b/>
      <sz val="10"/>
      <name val="Arial"/>
      <charset val="134"/>
    </font>
    <font>
      <b/>
      <sz val="8"/>
      <name val="Arial"/>
      <charset val="134"/>
    </font>
    <font>
      <sz val="8"/>
      <name val="Arial"/>
      <charset val="134"/>
    </font>
    <font>
      <b/>
      <sz val="10"/>
      <color rgb="FF000000"/>
      <name val="Arial"/>
      <charset val="134"/>
    </font>
    <font>
      <sz val="9"/>
      <name val="Arial Black"/>
      <charset val="134"/>
    </font>
    <font>
      <sz val="8"/>
      <name val="Arial Black"/>
      <charset val="134"/>
    </font>
    <font>
      <b/>
      <sz val="10"/>
      <color theme="1"/>
      <name val="Arial"/>
      <charset val="134"/>
    </font>
    <font>
      <sz val="10"/>
      <color theme="1"/>
      <name val="Arial"/>
      <charset val="134"/>
    </font>
    <font>
      <b/>
      <sz val="10"/>
      <name val="Arial"/>
      <charset val="0"/>
    </font>
    <font>
      <b/>
      <sz val="11"/>
      <name val="Calibri"/>
      <charset val="0"/>
      <scheme val="minor"/>
    </font>
    <font>
      <sz val="10"/>
      <color theme="1"/>
      <name val="Arial"/>
      <charset val="0"/>
    </font>
    <font>
      <sz val="10"/>
      <name val="Arial"/>
      <charset val="0"/>
    </font>
    <font>
      <sz val="11"/>
      <name val="Calibri"/>
      <charset val="0"/>
      <scheme val="minor"/>
    </font>
    <font>
      <b/>
      <sz val="10"/>
      <color theme="1"/>
      <name val="Arial"/>
      <charset val="0"/>
    </font>
    <font>
      <b/>
      <sz val="24"/>
      <color theme="1"/>
      <name val="Arial"/>
      <charset val="134"/>
    </font>
    <font>
      <b/>
      <sz val="20"/>
      <color theme="1"/>
      <name val="Arial"/>
      <charset val="134"/>
    </font>
    <font>
      <b/>
      <sz val="12"/>
      <color theme="1"/>
      <name val="Arial"/>
      <charset val="134"/>
    </font>
    <font>
      <b/>
      <sz val="11"/>
      <color theme="1"/>
      <name val="Arial"/>
      <charset val="134"/>
    </font>
    <font>
      <sz val="12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5"/>
      <color theme="3"/>
      <name val="Calibri"/>
      <charset val="134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</fills>
  <borders count="4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181" fontId="0" fillId="0" borderId="0" applyFont="0" applyFill="0" applyBorder="0" applyAlignment="0" applyProtection="0">
      <alignment vertical="center"/>
    </xf>
    <xf numFmtId="183" fontId="0" fillId="0" borderId="0" applyFont="0" applyFill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6" fillId="0" borderId="45" applyNumberFormat="0" applyFill="0" applyAlignment="0" applyProtection="0">
      <alignment vertical="center"/>
    </xf>
    <xf numFmtId="0" fontId="34" fillId="20" borderId="44" applyNumberFormat="0" applyAlignment="0" applyProtection="0">
      <alignment vertical="center"/>
    </xf>
    <xf numFmtId="182" fontId="0" fillId="0" borderId="0" applyFon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184" fontId="0" fillId="0" borderId="0" applyFon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0" fillId="40" borderId="48" applyNumberFormat="0" applyFont="0" applyAlignment="0" applyProtection="0">
      <alignment vertical="center"/>
    </xf>
    <xf numFmtId="0" fontId="1" fillId="0" borderId="0"/>
    <xf numFmtId="0" fontId="25" fillId="31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42" fillId="0" borderId="42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8" fillId="0" borderId="42" applyNumberFormat="0" applyFill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31" fillId="0" borderId="43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8" fillId="28" borderId="41" applyNumberFormat="0" applyAlignment="0" applyProtection="0">
      <alignment vertical="center"/>
    </xf>
    <xf numFmtId="0" fontId="39" fillId="15" borderId="47" applyNumberFormat="0" applyAlignment="0" applyProtection="0">
      <alignment vertical="center"/>
    </xf>
    <xf numFmtId="0" fontId="27" fillId="15" borderId="41" applyNumberFormat="0" applyAlignment="0" applyProtection="0">
      <alignment vertical="center"/>
    </xf>
    <xf numFmtId="0" fontId="37" fillId="0" borderId="46" applyNumberFormat="0" applyFill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3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>
      <alignment vertical="center"/>
    </xf>
    <xf numFmtId="179" fontId="0" fillId="0" borderId="0" xfId="0" applyNumberFormat="1">
      <alignment vertical="center"/>
    </xf>
    <xf numFmtId="9" fontId="0" fillId="0" borderId="0" xfId="4">
      <alignment vertical="center"/>
    </xf>
    <xf numFmtId="0" fontId="3" fillId="0" borderId="1" xfId="14" applyFont="1" applyBorder="1" applyAlignment="1">
      <alignment horizontal="center" vertical="center" wrapText="1"/>
    </xf>
    <xf numFmtId="0" fontId="3" fillId="0" borderId="2" xfId="14" applyFont="1" applyBorder="1" applyAlignment="1">
      <alignment horizontal="center" vertical="center" wrapText="1"/>
    </xf>
    <xf numFmtId="0" fontId="4" fillId="0" borderId="3" xfId="14" applyFont="1" applyBorder="1" applyAlignment="1">
      <alignment horizontal="center" vertical="center" wrapText="1"/>
    </xf>
    <xf numFmtId="0" fontId="4" fillId="0" borderId="0" xfId="14" applyFont="1" applyAlignment="1">
      <alignment horizontal="center" vertical="center" wrapText="1"/>
    </xf>
    <xf numFmtId="0" fontId="5" fillId="0" borderId="4" xfId="14" applyFont="1" applyBorder="1" applyAlignment="1">
      <alignment horizontal="center" vertical="center" wrapText="1"/>
    </xf>
    <xf numFmtId="0" fontId="5" fillId="0" borderId="5" xfId="14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6" fillId="0" borderId="6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10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179" fontId="2" fillId="0" borderId="11" xfId="0" applyNumberFormat="1" applyFont="1" applyBorder="1" applyAlignment="1">
      <alignment horizontal="center" vertical="center" wrapText="1"/>
    </xf>
    <xf numFmtId="9" fontId="2" fillId="3" borderId="15" xfId="4" applyFont="1" applyFill="1" applyBorder="1">
      <alignment vertical="center"/>
    </xf>
    <xf numFmtId="0" fontId="2" fillId="3" borderId="15" xfId="0" applyFont="1" applyFill="1" applyBorder="1">
      <alignment vertical="center"/>
    </xf>
    <xf numFmtId="0" fontId="2" fillId="0" borderId="10" xfId="0" applyFont="1" applyBorder="1" applyAlignment="1">
      <alignment horizontal="center" vertical="center"/>
    </xf>
    <xf numFmtId="9" fontId="2" fillId="3" borderId="11" xfId="4" applyFont="1" applyFill="1" applyBorder="1">
      <alignment vertical="center"/>
    </xf>
    <xf numFmtId="0" fontId="2" fillId="3" borderId="11" xfId="0" applyFont="1" applyFill="1" applyBorder="1">
      <alignment vertical="center"/>
    </xf>
    <xf numFmtId="0" fontId="0" fillId="0" borderId="11" xfId="0" applyBorder="1" applyAlignment="1">
      <alignment horizontal="center" vertical="center" wrapText="1"/>
    </xf>
    <xf numFmtId="179" fontId="0" fillId="0" borderId="11" xfId="0" applyNumberFormat="1" applyBorder="1" applyAlignment="1">
      <alignment horizontal="center" vertical="center" wrapText="1"/>
    </xf>
    <xf numFmtId="9" fontId="0" fillId="0" borderId="11" xfId="4" applyNumberFormat="1" applyBorder="1">
      <alignment vertical="center"/>
    </xf>
    <xf numFmtId="179" fontId="0" fillId="0" borderId="11" xfId="0" applyNumberFormat="1" applyBorder="1">
      <alignment vertical="center"/>
    </xf>
    <xf numFmtId="9" fontId="0" fillId="0" borderId="11" xfId="4" applyBorder="1">
      <alignment vertical="center"/>
    </xf>
    <xf numFmtId="0" fontId="3" fillId="0" borderId="20" xfId="14" applyFont="1" applyBorder="1" applyAlignment="1">
      <alignment horizontal="center" vertical="center" wrapText="1"/>
    </xf>
    <xf numFmtId="0" fontId="1" fillId="0" borderId="0" xfId="14" applyFill="1" applyAlignment="1">
      <alignment vertical="center"/>
    </xf>
    <xf numFmtId="0" fontId="4" fillId="0" borderId="21" xfId="14" applyFont="1" applyBorder="1" applyAlignment="1">
      <alignment horizontal="center" vertical="center" wrapText="1"/>
    </xf>
    <xf numFmtId="0" fontId="5" fillId="0" borderId="22" xfId="14" applyFont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7" fillId="0" borderId="21" xfId="0" applyFont="1" applyFill="1" applyBorder="1" applyAlignment="1">
      <alignment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left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10" fontId="6" fillId="0" borderId="27" xfId="4" applyNumberFormat="1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177" fontId="6" fillId="0" borderId="29" xfId="0" applyNumberFormat="1" applyFont="1" applyFill="1" applyBorder="1" applyAlignment="1">
      <alignment horizontal="center" vertical="center"/>
    </xf>
    <xf numFmtId="177" fontId="6" fillId="0" borderId="30" xfId="0" applyNumberFormat="1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 wrapText="1"/>
    </xf>
    <xf numFmtId="0" fontId="2" fillId="3" borderId="33" xfId="0" applyFont="1" applyFill="1" applyBorder="1">
      <alignment vertical="center"/>
    </xf>
    <xf numFmtId="0" fontId="2" fillId="3" borderId="27" xfId="0" applyFont="1" applyFill="1" applyBorder="1">
      <alignment vertical="center"/>
    </xf>
    <xf numFmtId="179" fontId="0" fillId="0" borderId="27" xfId="0" applyNumberFormat="1" applyBorder="1">
      <alignment vertical="center"/>
    </xf>
    <xf numFmtId="0" fontId="2" fillId="0" borderId="34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 wrapText="1"/>
    </xf>
    <xf numFmtId="179" fontId="0" fillId="0" borderId="29" xfId="0" applyNumberFormat="1" applyBorder="1" applyAlignment="1">
      <alignment horizontal="center" vertical="center" wrapText="1"/>
    </xf>
    <xf numFmtId="9" fontId="0" fillId="0" borderId="29" xfId="4" applyBorder="1">
      <alignment vertical="center"/>
    </xf>
    <xf numFmtId="179" fontId="0" fillId="0" borderId="29" xfId="0" applyNumberFormat="1" applyBorder="1">
      <alignment vertical="center"/>
    </xf>
    <xf numFmtId="0" fontId="6" fillId="4" borderId="3" xfId="0" applyFont="1" applyFill="1" applyBorder="1" applyAlignment="1">
      <alignment vertical="center" wrapText="1"/>
    </xf>
    <xf numFmtId="0" fontId="6" fillId="4" borderId="0" xfId="0" applyFont="1" applyFill="1" applyBorder="1" applyAlignment="1">
      <alignment vertical="center" wrapText="1"/>
    </xf>
    <xf numFmtId="9" fontId="7" fillId="0" borderId="0" xfId="4" applyFont="1" applyFill="1" applyAlignment="1">
      <alignment vertical="center"/>
    </xf>
    <xf numFmtId="177" fontId="6" fillId="5" borderId="10" xfId="0" applyNumberFormat="1" applyFont="1" applyFill="1" applyBorder="1" applyAlignment="1">
      <alignment horizontal="center" vertical="center" wrapText="1"/>
    </xf>
    <xf numFmtId="177" fontId="6" fillId="5" borderId="11" xfId="0" applyNumberFormat="1" applyFont="1" applyFill="1" applyBorder="1" applyAlignment="1">
      <alignment horizontal="center" vertical="center" wrapText="1"/>
    </xf>
    <xf numFmtId="184" fontId="7" fillId="0" borderId="0" xfId="0" applyNumberFormat="1" applyFont="1" applyFill="1" applyAlignment="1">
      <alignment vertical="center"/>
    </xf>
    <xf numFmtId="0" fontId="7" fillId="0" borderId="3" xfId="0" applyFont="1" applyFill="1" applyBorder="1" applyAlignment="1">
      <alignment vertical="center"/>
    </xf>
    <xf numFmtId="9" fontId="7" fillId="0" borderId="0" xfId="4" applyFont="1" applyFill="1" applyBorder="1" applyAlignment="1">
      <alignment vertical="center"/>
    </xf>
    <xf numFmtId="10" fontId="6" fillId="0" borderId="35" xfId="4" applyNumberFormat="1" applyFont="1" applyFill="1" applyBorder="1" applyAlignment="1">
      <alignment horizontal="center" vertical="center" wrapText="1"/>
    </xf>
    <xf numFmtId="10" fontId="6" fillId="0" borderId="25" xfId="4" applyNumberFormat="1" applyFont="1" applyFill="1" applyBorder="1" applyAlignment="1">
      <alignment horizontal="center" vertical="center" wrapText="1"/>
    </xf>
    <xf numFmtId="181" fontId="6" fillId="6" borderId="11" xfId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9" fontId="7" fillId="0" borderId="0" xfId="4" applyFont="1" applyFill="1" applyAlignment="1">
      <alignment horizontal="center" vertical="center"/>
    </xf>
    <xf numFmtId="177" fontId="6" fillId="5" borderId="26" xfId="0" applyNumberFormat="1" applyFont="1" applyFill="1" applyBorder="1" applyAlignment="1">
      <alignment horizontal="center" vertical="center" wrapText="1"/>
    </xf>
    <xf numFmtId="9" fontId="6" fillId="0" borderId="35" xfId="4" applyFont="1" applyFill="1" applyBorder="1" applyAlignment="1">
      <alignment horizontal="center" vertical="center" wrapText="1"/>
    </xf>
    <xf numFmtId="177" fontId="6" fillId="5" borderId="28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/>
    </xf>
    <xf numFmtId="9" fontId="1" fillId="0" borderId="0" xfId="4" applyFont="1" applyFill="1" applyAlignment="1">
      <alignment vertical="center"/>
    </xf>
    <xf numFmtId="0" fontId="9" fillId="0" borderId="36" xfId="14" applyFont="1" applyFill="1" applyBorder="1" applyAlignment="1">
      <alignment horizontal="center" vertical="center"/>
    </xf>
    <xf numFmtId="0" fontId="10" fillId="0" borderId="0" xfId="14" applyFont="1" applyFill="1" applyAlignment="1">
      <alignment horizontal="center" vertical="center"/>
    </xf>
    <xf numFmtId="0" fontId="1" fillId="0" borderId="4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9" fontId="1" fillId="0" borderId="5" xfId="4" applyFont="1" applyFill="1" applyBorder="1" applyAlignment="1">
      <alignment vertical="center"/>
    </xf>
    <xf numFmtId="9" fontId="0" fillId="0" borderId="29" xfId="4" applyNumberFormat="1" applyBorder="1">
      <alignment vertical="center"/>
    </xf>
    <xf numFmtId="179" fontId="0" fillId="0" borderId="26" xfId="0" applyNumberFormat="1" applyBorder="1">
      <alignment vertical="center"/>
    </xf>
    <xf numFmtId="9" fontId="0" fillId="0" borderId="26" xfId="4" applyNumberFormat="1" applyBorder="1">
      <alignment vertical="center"/>
    </xf>
    <xf numFmtId="179" fontId="0" fillId="0" borderId="30" xfId="0" applyNumberFormat="1" applyBorder="1">
      <alignment vertical="center"/>
    </xf>
    <xf numFmtId="0" fontId="6" fillId="4" borderId="0" xfId="0" applyFont="1" applyFill="1" applyBorder="1" applyAlignment="1">
      <alignment vertical="center"/>
    </xf>
    <xf numFmtId="0" fontId="7" fillId="0" borderId="2" xfId="0" applyFont="1" applyFill="1" applyBorder="1" applyAlignment="1">
      <alignment vertical="center"/>
    </xf>
    <xf numFmtId="9" fontId="7" fillId="0" borderId="2" xfId="4" applyFont="1" applyFill="1" applyBorder="1" applyAlignment="1">
      <alignment vertical="center"/>
    </xf>
    <xf numFmtId="184" fontId="7" fillId="0" borderId="0" xfId="0" applyNumberFormat="1" applyFont="1" applyFill="1" applyBorder="1" applyAlignment="1">
      <alignment vertical="center"/>
    </xf>
    <xf numFmtId="184" fontId="7" fillId="0" borderId="21" xfId="0" applyNumberFormat="1" applyFont="1" applyFill="1" applyBorder="1" applyAlignment="1">
      <alignment vertical="center"/>
    </xf>
    <xf numFmtId="0" fontId="7" fillId="0" borderId="37" xfId="0" applyFont="1" applyFill="1" applyBorder="1" applyAlignment="1">
      <alignment vertical="center"/>
    </xf>
    <xf numFmtId="9" fontId="7" fillId="0" borderId="37" xfId="4" applyFont="1" applyFill="1" applyBorder="1" applyAlignment="1">
      <alignment vertical="center"/>
    </xf>
    <xf numFmtId="10" fontId="6" fillId="0" borderId="19" xfId="4" applyNumberFormat="1" applyFont="1" applyFill="1" applyBorder="1" applyAlignment="1">
      <alignment horizontal="center" vertical="center" wrapText="1"/>
    </xf>
    <xf numFmtId="10" fontId="6" fillId="0" borderId="18" xfId="4" applyNumberFormat="1" applyFont="1" applyFill="1" applyBorder="1" applyAlignment="1">
      <alignment horizontal="center" vertical="center" wrapText="1"/>
    </xf>
    <xf numFmtId="10" fontId="6" fillId="0" borderId="38" xfId="4" applyNumberFormat="1" applyFont="1" applyFill="1" applyBorder="1" applyAlignment="1">
      <alignment horizontal="center" vertical="center" wrapText="1"/>
    </xf>
    <xf numFmtId="181" fontId="6" fillId="6" borderId="27" xfId="1" applyFont="1" applyFill="1" applyBorder="1" applyAlignment="1">
      <alignment horizontal="center" vertical="center"/>
    </xf>
    <xf numFmtId="10" fontId="6" fillId="0" borderId="9" xfId="4" applyNumberFormat="1" applyFont="1" applyFill="1" applyBorder="1" applyAlignment="1">
      <alignment horizontal="center" vertical="center" wrapText="1"/>
    </xf>
    <xf numFmtId="9" fontId="6" fillId="0" borderId="35" xfId="4" applyNumberFormat="1" applyFont="1" applyFill="1" applyBorder="1" applyAlignment="1">
      <alignment horizontal="center" vertical="center" wrapText="1"/>
    </xf>
    <xf numFmtId="9" fontId="6" fillId="0" borderId="38" xfId="4" applyNumberFormat="1" applyFont="1" applyFill="1" applyBorder="1" applyAlignment="1">
      <alignment horizontal="center" vertical="center" wrapText="1"/>
    </xf>
    <xf numFmtId="181" fontId="6" fillId="6" borderId="35" xfId="1" applyFont="1" applyFill="1" applyBorder="1" applyAlignment="1">
      <alignment horizontal="center" vertical="center"/>
    </xf>
    <xf numFmtId="181" fontId="6" fillId="6" borderId="26" xfId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9" fontId="1" fillId="0" borderId="36" xfId="4" applyFont="1" applyFill="1" applyBorder="1" applyAlignment="1">
      <alignment vertical="center"/>
    </xf>
    <xf numFmtId="0" fontId="1" fillId="0" borderId="21" xfId="0" applyFont="1" applyFill="1" applyBorder="1" applyAlignment="1">
      <alignment vertical="center"/>
    </xf>
    <xf numFmtId="9" fontId="1" fillId="0" borderId="0" xfId="4" applyFont="1" applyFill="1" applyBorder="1" applyAlignment="1">
      <alignment vertical="center"/>
    </xf>
    <xf numFmtId="0" fontId="1" fillId="0" borderId="22" xfId="0" applyFont="1" applyFill="1" applyBorder="1" applyAlignment="1">
      <alignment vertical="center"/>
    </xf>
    <xf numFmtId="0" fontId="0" fillId="7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0" fillId="7" borderId="0" xfId="0" applyFill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Alignment="1">
      <alignment vertical="center" wrapText="1"/>
    </xf>
    <xf numFmtId="181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  <xf numFmtId="186" fontId="0" fillId="0" borderId="0" xfId="0" applyNumberFormat="1">
      <alignment vertical="center"/>
    </xf>
    <xf numFmtId="0" fontId="11" fillId="8" borderId="1" xfId="0" applyFont="1" applyFill="1" applyBorder="1" applyAlignment="1">
      <alignment horizontal="center" vertical="center"/>
    </xf>
    <xf numFmtId="0" fontId="11" fillId="8" borderId="2" xfId="0" applyFont="1" applyFill="1" applyBorder="1" applyAlignment="1">
      <alignment horizontal="center" vertical="center"/>
    </xf>
    <xf numFmtId="181" fontId="2" fillId="8" borderId="2" xfId="1" applyFont="1" applyFill="1" applyBorder="1" applyAlignment="1">
      <alignment horizontal="center" vertical="center" wrapText="1"/>
    </xf>
    <xf numFmtId="181" fontId="11" fillId="8" borderId="2" xfId="1" applyNumberFormat="1" applyFont="1" applyFill="1" applyBorder="1" applyAlignment="1">
      <alignment horizontal="center" vertical="center" wrapText="1"/>
    </xf>
    <xf numFmtId="181" fontId="11" fillId="8" borderId="2" xfId="1" applyFont="1" applyFill="1" applyBorder="1" applyAlignment="1">
      <alignment horizontal="center" vertical="center"/>
    </xf>
    <xf numFmtId="181" fontId="11" fillId="8" borderId="2" xfId="1" applyFont="1" applyFill="1" applyBorder="1" applyAlignment="1">
      <alignment horizontal="center" vertical="center" wrapText="1"/>
    </xf>
    <xf numFmtId="186" fontId="11" fillId="8" borderId="2" xfId="1" applyNumberFormat="1" applyFont="1" applyFill="1" applyBorder="1" applyAlignment="1">
      <alignment horizontal="center" vertical="center"/>
    </xf>
    <xf numFmtId="0" fontId="11" fillId="8" borderId="3" xfId="0" applyFont="1" applyFill="1" applyBorder="1" applyAlignment="1">
      <alignment horizontal="center" vertical="center" wrapText="1"/>
    </xf>
    <xf numFmtId="0" fontId="11" fillId="8" borderId="0" xfId="0" applyFont="1" applyFill="1" applyAlignment="1">
      <alignment horizontal="center" vertical="center" wrapText="1"/>
    </xf>
    <xf numFmtId="181" fontId="2" fillId="8" borderId="0" xfId="1" applyFont="1" applyFill="1" applyAlignment="1">
      <alignment horizontal="center" vertical="center" wrapText="1"/>
    </xf>
    <xf numFmtId="181" fontId="11" fillId="8" borderId="0" xfId="1" applyNumberFormat="1" applyFont="1" applyFill="1" applyAlignment="1">
      <alignment horizontal="center" vertical="center" wrapText="1"/>
    </xf>
    <xf numFmtId="181" fontId="11" fillId="8" borderId="0" xfId="1" applyFont="1" applyFill="1" applyAlignment="1">
      <alignment horizontal="center" vertical="center" wrapText="1"/>
    </xf>
    <xf numFmtId="186" fontId="11" fillId="8" borderId="0" xfId="1" applyNumberFormat="1" applyFont="1" applyFill="1" applyAlignment="1">
      <alignment horizontal="center" vertical="center" wrapText="1"/>
    </xf>
    <xf numFmtId="0" fontId="12" fillId="8" borderId="3" xfId="0" applyFont="1" applyFill="1" applyBorder="1" applyAlignment="1">
      <alignment vertical="center" wrapText="1"/>
    </xf>
    <xf numFmtId="0" fontId="12" fillId="8" borderId="0" xfId="0" applyFont="1" applyFill="1" applyAlignment="1">
      <alignment vertical="center" wrapText="1"/>
    </xf>
    <xf numFmtId="181" fontId="0" fillId="8" borderId="0" xfId="1" applyFont="1" applyFill="1" applyAlignment="1">
      <alignment horizontal="center" vertical="center" wrapText="1"/>
    </xf>
    <xf numFmtId="181" fontId="12" fillId="8" borderId="0" xfId="1" applyNumberFormat="1" applyFont="1" applyFill="1" applyAlignment="1">
      <alignment vertical="center" wrapText="1"/>
    </xf>
    <xf numFmtId="181" fontId="12" fillId="8" borderId="0" xfId="1" applyFont="1" applyFill="1" applyAlignment="1">
      <alignment vertical="center" wrapText="1"/>
    </xf>
    <xf numFmtId="186" fontId="12" fillId="8" borderId="0" xfId="1" applyNumberFormat="1" applyFont="1" applyFill="1" applyAlignment="1">
      <alignment vertical="center" wrapText="1"/>
    </xf>
    <xf numFmtId="181" fontId="12" fillId="8" borderId="12" xfId="1" applyFont="1" applyFill="1" applyBorder="1" applyAlignment="1">
      <alignment horizontal="right" vertical="center" wrapText="1"/>
    </xf>
    <xf numFmtId="181" fontId="12" fillId="8" borderId="13" xfId="1" applyFont="1" applyFill="1" applyBorder="1" applyAlignment="1">
      <alignment horizontal="right" vertical="center" wrapText="1"/>
    </xf>
    <xf numFmtId="181" fontId="12" fillId="8" borderId="13" xfId="1" applyFont="1" applyFill="1" applyBorder="1" applyAlignment="1">
      <alignment horizontal="left" vertical="center" wrapText="1"/>
    </xf>
    <xf numFmtId="186" fontId="12" fillId="8" borderId="13" xfId="1" applyNumberFormat="1" applyFont="1" applyFill="1" applyBorder="1" applyAlignment="1">
      <alignment horizontal="left" vertical="center" wrapText="1"/>
    </xf>
    <xf numFmtId="0" fontId="11" fillId="8" borderId="39" xfId="0" applyFont="1" applyFill="1" applyBorder="1" applyAlignment="1">
      <alignment vertical="center" wrapText="1"/>
    </xf>
    <xf numFmtId="0" fontId="12" fillId="8" borderId="2" xfId="0" applyFont="1" applyFill="1" applyBorder="1" applyAlignment="1">
      <alignment horizontal="left" vertical="center" wrapText="1"/>
    </xf>
    <xf numFmtId="181" fontId="0" fillId="8" borderId="2" xfId="1" applyFont="1" applyFill="1" applyBorder="1" applyAlignment="1">
      <alignment horizontal="center" vertical="center" wrapText="1"/>
    </xf>
    <xf numFmtId="181" fontId="12" fillId="8" borderId="2" xfId="1" applyNumberFormat="1" applyFont="1" applyFill="1" applyBorder="1" applyAlignment="1">
      <alignment horizontal="left" vertical="center" wrapText="1"/>
    </xf>
    <xf numFmtId="0" fontId="11" fillId="8" borderId="40" xfId="0" applyFont="1" applyFill="1" applyBorder="1" applyAlignment="1">
      <alignment vertical="center" wrapText="1"/>
    </xf>
    <xf numFmtId="0" fontId="12" fillId="8" borderId="13" xfId="0" applyFont="1" applyFill="1" applyBorder="1" applyAlignment="1">
      <alignment horizontal="left" vertical="center" wrapText="1"/>
    </xf>
    <xf numFmtId="181" fontId="0" fillId="8" borderId="13" xfId="1" applyFont="1" applyFill="1" applyBorder="1" applyAlignment="1">
      <alignment horizontal="center" vertical="center" wrapText="1"/>
    </xf>
    <xf numFmtId="181" fontId="12" fillId="8" borderId="13" xfId="1" applyNumberFormat="1" applyFont="1" applyFill="1" applyBorder="1" applyAlignment="1">
      <alignment horizontal="left" vertical="center" wrapText="1"/>
    </xf>
    <xf numFmtId="0" fontId="13" fillId="5" borderId="11" xfId="0" applyFont="1" applyFill="1" applyBorder="1" applyAlignment="1">
      <alignment horizontal="center" vertical="center"/>
    </xf>
    <xf numFmtId="0" fontId="13" fillId="5" borderId="11" xfId="0" applyFont="1" applyFill="1" applyBorder="1" applyAlignment="1">
      <alignment horizontal="center" vertical="center" wrapText="1"/>
    </xf>
    <xf numFmtId="181" fontId="14" fillId="5" borderId="35" xfId="1" applyFont="1" applyFill="1" applyBorder="1" applyAlignment="1">
      <alignment horizontal="center" vertical="center" wrapText="1"/>
    </xf>
    <xf numFmtId="181" fontId="13" fillId="5" borderId="9" xfId="1" applyNumberFormat="1" applyFont="1" applyFill="1" applyBorder="1" applyAlignment="1">
      <alignment horizontal="center" vertical="center" wrapText="1"/>
    </xf>
    <xf numFmtId="181" fontId="13" fillId="5" borderId="9" xfId="1" applyFont="1" applyFill="1" applyBorder="1" applyAlignment="1">
      <alignment horizontal="center" vertical="center"/>
    </xf>
    <xf numFmtId="181" fontId="13" fillId="5" borderId="9" xfId="1" applyFont="1" applyFill="1" applyBorder="1" applyAlignment="1">
      <alignment horizontal="center" vertical="center" wrapText="1"/>
    </xf>
    <xf numFmtId="186" fontId="13" fillId="5" borderId="9" xfId="1" applyNumberFormat="1" applyFont="1" applyFill="1" applyBorder="1" applyAlignment="1">
      <alignment horizontal="center" vertical="center"/>
    </xf>
    <xf numFmtId="0" fontId="13" fillId="5" borderId="35" xfId="0" applyFont="1" applyFill="1" applyBorder="1" applyAlignment="1">
      <alignment horizontal="center" vertical="center" wrapText="1"/>
    </xf>
    <xf numFmtId="181" fontId="14" fillId="5" borderId="11" xfId="1" applyFont="1" applyFill="1" applyBorder="1" applyAlignment="1">
      <alignment horizontal="center" vertical="center" wrapText="1"/>
    </xf>
    <xf numFmtId="186" fontId="13" fillId="5" borderId="25" xfId="1" applyNumberFormat="1" applyFont="1" applyFill="1" applyBorder="1" applyAlignment="1">
      <alignment horizontal="center" vertical="center"/>
    </xf>
    <xf numFmtId="0" fontId="15" fillId="6" borderId="11" xfId="0" applyFont="1" applyFill="1" applyBorder="1" applyAlignment="1">
      <alignment horizontal="center" vertical="center"/>
    </xf>
    <xf numFmtId="0" fontId="16" fillId="6" borderId="11" xfId="0" applyFont="1" applyFill="1" applyBorder="1" applyAlignment="1">
      <alignment horizontal="center" vertical="center" wrapText="1"/>
    </xf>
    <xf numFmtId="0" fontId="17" fillId="6" borderId="11" xfId="0" applyFont="1" applyFill="1" applyBorder="1" applyAlignment="1">
      <alignment horizontal="center" vertical="center" wrapText="1"/>
    </xf>
    <xf numFmtId="181" fontId="15" fillId="6" borderId="11" xfId="1" applyNumberFormat="1" applyFont="1" applyFill="1" applyBorder="1" applyAlignment="1">
      <alignment horizontal="center" vertical="center" wrapText="1"/>
    </xf>
    <xf numFmtId="181" fontId="15" fillId="6" borderId="11" xfId="1" applyFont="1" applyFill="1" applyBorder="1" applyAlignment="1">
      <alignment horizontal="center" vertical="center" wrapText="1"/>
    </xf>
    <xf numFmtId="186" fontId="15" fillId="6" borderId="11" xfId="1" applyNumberFormat="1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right" vertical="center" wrapText="1"/>
    </xf>
    <xf numFmtId="0" fontId="0" fillId="0" borderId="11" xfId="0" applyFont="1" applyFill="1" applyBorder="1" applyAlignment="1">
      <alignment vertical="center" wrapText="1"/>
    </xf>
    <xf numFmtId="181" fontId="15" fillId="0" borderId="11" xfId="1" applyNumberFormat="1" applyFont="1" applyFill="1" applyBorder="1" applyAlignment="1">
      <alignment horizontal="center" vertical="center" wrapText="1"/>
    </xf>
    <xf numFmtId="181" fontId="15" fillId="0" borderId="11" xfId="1" applyFont="1" applyFill="1" applyBorder="1" applyAlignment="1">
      <alignment horizontal="center" vertical="center" wrapText="1"/>
    </xf>
    <xf numFmtId="186" fontId="15" fillId="0" borderId="11" xfId="1" applyNumberFormat="1" applyFont="1" applyFill="1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11" xfId="0" applyFont="1" applyBorder="1" applyAlignment="1">
      <alignment vertical="center" wrapText="1"/>
    </xf>
    <xf numFmtId="181" fontId="0" fillId="0" borderId="11" xfId="0" applyNumberFormat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186" fontId="0" fillId="0" borderId="11" xfId="0" applyNumberFormat="1" applyBorder="1">
      <alignment vertical="center"/>
    </xf>
    <xf numFmtId="0" fontId="15" fillId="8" borderId="11" xfId="0" applyFont="1" applyFill="1" applyBorder="1" applyAlignment="1">
      <alignment horizontal="center" vertical="center"/>
    </xf>
    <xf numFmtId="0" fontId="18" fillId="8" borderId="11" xfId="0" applyFont="1" applyFill="1" applyBorder="1" applyAlignment="1">
      <alignment horizontal="right" vertical="center" wrapText="1"/>
    </xf>
    <xf numFmtId="181" fontId="15" fillId="8" borderId="11" xfId="1" applyNumberFormat="1" applyFont="1" applyFill="1" applyBorder="1" applyAlignment="1">
      <alignment horizontal="center" vertical="center" wrapText="1"/>
    </xf>
    <xf numFmtId="181" fontId="15" fillId="8" borderId="11" xfId="1" applyFont="1" applyFill="1" applyBorder="1" applyAlignment="1">
      <alignment horizontal="center" vertical="center" wrapText="1"/>
    </xf>
    <xf numFmtId="186" fontId="15" fillId="8" borderId="11" xfId="1" applyNumberFormat="1" applyFont="1" applyFill="1" applyBorder="1" applyAlignment="1">
      <alignment horizontal="center" vertical="center" wrapText="1"/>
    </xf>
    <xf numFmtId="178" fontId="0" fillId="0" borderId="11" xfId="0" applyNumberFormat="1" applyBorder="1" applyAlignment="1">
      <alignment vertical="center" wrapText="1"/>
    </xf>
    <xf numFmtId="181" fontId="0" fillId="0" borderId="11" xfId="0" applyNumberFormat="1" applyFill="1" applyBorder="1" applyAlignment="1">
      <alignment vertical="center" wrapText="1"/>
    </xf>
    <xf numFmtId="178" fontId="0" fillId="0" borderId="11" xfId="0" applyNumberFormat="1" applyFill="1" applyBorder="1" applyAlignment="1">
      <alignment vertical="center" wrapText="1"/>
    </xf>
    <xf numFmtId="186" fontId="15" fillId="0" borderId="11" xfId="1" applyNumberFormat="1" applyFont="1" applyFill="1" applyBorder="1" applyAlignment="1">
      <alignment horizontal="center" vertical="center" wrapText="1"/>
    </xf>
    <xf numFmtId="181" fontId="0" fillId="0" borderId="11" xfId="1" applyFont="1" applyBorder="1" applyAlignment="1">
      <alignment vertical="center" wrapText="1"/>
    </xf>
    <xf numFmtId="178" fontId="0" fillId="0" borderId="11" xfId="0" applyNumberFormat="1" applyFill="1" applyBorder="1" applyAlignment="1">
      <alignment vertical="center"/>
    </xf>
    <xf numFmtId="186" fontId="15" fillId="8" borderId="11" xfId="1" applyNumberFormat="1" applyFont="1" applyFill="1" applyBorder="1" applyAlignment="1">
      <alignment horizontal="center" vertical="center"/>
    </xf>
    <xf numFmtId="181" fontId="0" fillId="0" borderId="11" xfId="0" applyNumberForma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 wrapText="1"/>
    </xf>
    <xf numFmtId="186" fontId="0" fillId="0" borderId="11" xfId="0" applyNumberFormat="1" applyFill="1" applyBorder="1">
      <alignment vertical="center"/>
    </xf>
    <xf numFmtId="0" fontId="16" fillId="0" borderId="11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178" fontId="0" fillId="0" borderId="11" xfId="0" applyNumberFormat="1" applyBorder="1">
      <alignment vertical="center"/>
    </xf>
    <xf numFmtId="0" fontId="0" fillId="0" borderId="11" xfId="0" applyFill="1" applyBorder="1">
      <alignment vertical="center"/>
    </xf>
    <xf numFmtId="0" fontId="0" fillId="0" borderId="11" xfId="0" applyFill="1" applyBorder="1" applyAlignment="1">
      <alignment vertical="center" wrapText="1"/>
    </xf>
    <xf numFmtId="181" fontId="11" fillId="8" borderId="20" xfId="1" applyFont="1" applyFill="1" applyBorder="1" applyAlignment="1">
      <alignment horizontal="center" vertical="center"/>
    </xf>
    <xf numFmtId="181" fontId="11" fillId="8" borderId="21" xfId="1" applyFont="1" applyFill="1" applyBorder="1" applyAlignment="1">
      <alignment horizontal="center" vertical="center" wrapText="1"/>
    </xf>
    <xf numFmtId="181" fontId="12" fillId="8" borderId="21" xfId="1" applyFont="1" applyFill="1" applyBorder="1" applyAlignment="1">
      <alignment vertical="center" wrapText="1"/>
    </xf>
    <xf numFmtId="181" fontId="12" fillId="8" borderId="31" xfId="1" applyFont="1" applyFill="1" applyBorder="1" applyAlignment="1">
      <alignment horizontal="left" vertical="center" wrapText="1"/>
    </xf>
    <xf numFmtId="181" fontId="13" fillId="5" borderId="25" xfId="1" applyFont="1" applyFill="1" applyBorder="1" applyAlignment="1">
      <alignment horizontal="center" vertical="center"/>
    </xf>
    <xf numFmtId="181" fontId="13" fillId="5" borderId="11" xfId="1" applyFont="1" applyFill="1" applyBorder="1" applyAlignment="1">
      <alignment horizontal="center" vertical="center"/>
    </xf>
    <xf numFmtId="181" fontId="13" fillId="6" borderId="11" xfId="1" applyFont="1" applyFill="1" applyBorder="1" applyAlignment="1">
      <alignment horizontal="center" vertical="center"/>
    </xf>
    <xf numFmtId="181" fontId="13" fillId="0" borderId="11" xfId="1" applyFont="1" applyFill="1" applyBorder="1" applyAlignment="1">
      <alignment horizontal="center" vertical="center"/>
    </xf>
    <xf numFmtId="181" fontId="15" fillId="8" borderId="11" xfId="1" applyFont="1" applyFill="1" applyBorder="1" applyAlignment="1">
      <alignment horizontal="center" vertical="center"/>
    </xf>
    <xf numFmtId="181" fontId="0" fillId="0" borderId="11" xfId="0" applyNumberFormat="1" applyBorder="1">
      <alignment vertical="center"/>
    </xf>
    <xf numFmtId="0" fontId="0" fillId="0" borderId="0" xfId="0" applyFont="1" applyFill="1" applyBorder="1" applyAlignment="1">
      <alignment vertical="center" wrapText="1"/>
    </xf>
    <xf numFmtId="181" fontId="0" fillId="0" borderId="0" xfId="0" applyNumberForma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186" fontId="0" fillId="0" borderId="0" xfId="0" applyNumberFormat="1" applyFill="1" applyBorder="1">
      <alignment vertical="center"/>
    </xf>
    <xf numFmtId="181" fontId="15" fillId="0" borderId="0" xfId="1" applyNumberFormat="1" applyFont="1" applyFill="1" applyBorder="1" applyAlignment="1">
      <alignment horizontal="center" vertical="center" wrapText="1"/>
    </xf>
    <xf numFmtId="181" fontId="15" fillId="0" borderId="0" xfId="1" applyFont="1" applyFill="1" applyBorder="1" applyAlignment="1">
      <alignment horizontal="center" vertical="center" wrapText="1"/>
    </xf>
    <xf numFmtId="186" fontId="15" fillId="0" borderId="0" xfId="1" applyNumberFormat="1" applyFont="1" applyFill="1" applyBorder="1" applyAlignment="1">
      <alignment horizontal="center" vertical="center"/>
    </xf>
    <xf numFmtId="178" fontId="0" fillId="0" borderId="0" xfId="0" applyNumberFormat="1" applyFill="1" applyBorder="1">
      <alignment vertical="center"/>
    </xf>
    <xf numFmtId="178" fontId="0" fillId="0" borderId="0" xfId="0" applyNumberFormat="1" applyFill="1" applyBorder="1" applyAlignment="1">
      <alignment vertical="center"/>
    </xf>
    <xf numFmtId="178" fontId="0" fillId="0" borderId="0" xfId="0" applyNumberFormat="1" applyFill="1" applyBorder="1" applyAlignment="1">
      <alignment vertical="center" wrapText="1"/>
    </xf>
    <xf numFmtId="178" fontId="0" fillId="0" borderId="11" xfId="0" applyNumberFormat="1" applyFill="1" applyBorder="1">
      <alignment vertical="center"/>
    </xf>
    <xf numFmtId="185" fontId="0" fillId="0" borderId="11" xfId="0" applyNumberFormat="1" applyFill="1" applyBorder="1" applyAlignment="1">
      <alignment vertical="center" wrapText="1"/>
    </xf>
    <xf numFmtId="0" fontId="15" fillId="9" borderId="11" xfId="0" applyFont="1" applyFill="1" applyBorder="1" applyAlignment="1">
      <alignment horizontal="center" vertical="center"/>
    </xf>
    <xf numFmtId="0" fontId="16" fillId="9" borderId="11" xfId="0" applyFont="1" applyFill="1" applyBorder="1" applyAlignment="1">
      <alignment horizontal="center" vertical="center" wrapText="1"/>
    </xf>
    <xf numFmtId="0" fontId="17" fillId="9" borderId="11" xfId="0" applyFont="1" applyFill="1" applyBorder="1" applyAlignment="1">
      <alignment horizontal="center" vertical="center" wrapText="1"/>
    </xf>
    <xf numFmtId="181" fontId="15" fillId="9" borderId="11" xfId="1" applyNumberFormat="1" applyFont="1" applyFill="1" applyBorder="1" applyAlignment="1">
      <alignment horizontal="center" vertical="center" wrapText="1"/>
    </xf>
    <xf numFmtId="181" fontId="15" fillId="9" borderId="11" xfId="1" applyFont="1" applyFill="1" applyBorder="1" applyAlignment="1">
      <alignment horizontal="center" vertical="center" wrapText="1"/>
    </xf>
    <xf numFmtId="186" fontId="15" fillId="9" borderId="11" xfId="1" applyNumberFormat="1" applyFont="1" applyFill="1" applyBorder="1" applyAlignment="1">
      <alignment horizontal="center" vertical="center" wrapText="1"/>
    </xf>
    <xf numFmtId="176" fontId="15" fillId="0" borderId="11" xfId="1" applyNumberFormat="1" applyFont="1" applyFill="1" applyBorder="1" applyAlignment="1">
      <alignment horizontal="center" vertical="center"/>
    </xf>
    <xf numFmtId="181" fontId="13" fillId="9" borderId="11" xfId="1" applyFont="1" applyFill="1" applyBorder="1" applyAlignment="1">
      <alignment horizontal="center" vertical="center"/>
    </xf>
    <xf numFmtId="181" fontId="15" fillId="0" borderId="11" xfId="1" applyFont="1" applyFill="1" applyBorder="1" applyAlignment="1">
      <alignment horizontal="center" vertical="center"/>
    </xf>
    <xf numFmtId="181" fontId="0" fillId="0" borderId="11" xfId="1" applyFont="1" applyFill="1" applyBorder="1" applyAlignment="1">
      <alignment vertical="center" wrapText="1"/>
    </xf>
    <xf numFmtId="185" fontId="15" fillId="0" borderId="11" xfId="1" applyNumberFormat="1" applyFont="1" applyFill="1" applyBorder="1" applyAlignment="1">
      <alignment horizontal="center" vertical="center" wrapText="1"/>
    </xf>
    <xf numFmtId="0" fontId="16" fillId="9" borderId="11" xfId="0" applyFont="1" applyFill="1" applyBorder="1" applyAlignment="1">
      <alignment horizontal="center" vertical="center"/>
    </xf>
    <xf numFmtId="181" fontId="16" fillId="9" borderId="11" xfId="1" applyNumberFormat="1" applyFont="1" applyFill="1" applyBorder="1" applyAlignment="1">
      <alignment horizontal="center" vertical="center" wrapText="1"/>
    </xf>
    <xf numFmtId="181" fontId="16" fillId="9" borderId="11" xfId="1" applyFont="1" applyFill="1" applyBorder="1" applyAlignment="1">
      <alignment horizontal="center" vertical="center" wrapText="1"/>
    </xf>
    <xf numFmtId="186" fontId="16" fillId="9" borderId="11" xfId="1" applyNumberFormat="1" applyFont="1" applyFill="1" applyBorder="1" applyAlignment="1">
      <alignment horizontal="center" vertical="center" wrapText="1"/>
    </xf>
    <xf numFmtId="181" fontId="0" fillId="0" borderId="11" xfId="0" applyNumberFormat="1" applyFill="1" applyBorder="1">
      <alignment vertical="center"/>
    </xf>
    <xf numFmtId="0" fontId="0" fillId="0" borderId="35" xfId="0" applyFont="1" applyFill="1" applyBorder="1" applyAlignment="1">
      <alignment horizontal="center" vertical="center" wrapText="1"/>
    </xf>
    <xf numFmtId="181" fontId="0" fillId="0" borderId="9" xfId="0" applyNumberForma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 wrapText="1"/>
    </xf>
    <xf numFmtId="186" fontId="0" fillId="0" borderId="25" xfId="0" applyNumberForma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 wrapText="1"/>
    </xf>
    <xf numFmtId="186" fontId="0" fillId="0" borderId="11" xfId="0" applyNumberFormat="1" applyFill="1" applyBorder="1" applyAlignment="1">
      <alignment horizontal="center" vertical="center"/>
    </xf>
    <xf numFmtId="181" fontId="0" fillId="0" borderId="11" xfId="0" applyNumberFormat="1" applyFont="1" applyFill="1" applyBorder="1" applyAlignment="1">
      <alignment vertical="center" wrapText="1"/>
    </xf>
    <xf numFmtId="0" fontId="0" fillId="0" borderId="11" xfId="0" applyFont="1" applyFill="1" applyBorder="1" applyAlignment="1">
      <alignment vertical="center"/>
    </xf>
    <xf numFmtId="186" fontId="0" fillId="0" borderId="11" xfId="0" applyNumberFormat="1" applyFont="1" applyFill="1" applyBorder="1" applyAlignment="1">
      <alignment vertical="center"/>
    </xf>
    <xf numFmtId="180" fontId="0" fillId="0" borderId="11" xfId="0" applyNumberFormat="1" applyFont="1" applyFill="1" applyBorder="1" applyAlignment="1">
      <alignment vertical="center"/>
    </xf>
    <xf numFmtId="181" fontId="12" fillId="0" borderId="11" xfId="1" applyFont="1" applyFill="1" applyBorder="1" applyAlignment="1">
      <alignment vertical="center" wrapText="1"/>
    </xf>
    <xf numFmtId="0" fontId="0" fillId="0" borderId="35" xfId="0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0" fillId="0" borderId="26" xfId="0" applyFill="1" applyBorder="1">
      <alignment vertical="center"/>
    </xf>
    <xf numFmtId="0" fontId="0" fillId="0" borderId="35" xfId="0" applyFont="1" applyFill="1" applyBorder="1" applyAlignment="1">
      <alignment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25" xfId="0" applyFont="1" applyFill="1" applyBorder="1" applyAlignment="1">
      <alignment horizontal="center" vertical="center" wrapText="1"/>
    </xf>
    <xf numFmtId="0" fontId="0" fillId="0" borderId="28" xfId="0" applyFill="1" applyBorder="1">
      <alignment vertical="center"/>
    </xf>
    <xf numFmtId="0" fontId="0" fillId="0" borderId="28" xfId="0" applyFont="1" applyFill="1" applyBorder="1" applyAlignment="1">
      <alignment vertical="center" wrapText="1"/>
    </xf>
    <xf numFmtId="181" fontId="15" fillId="0" borderId="28" xfId="1" applyNumberFormat="1" applyFont="1" applyFill="1" applyBorder="1" applyAlignment="1">
      <alignment horizontal="center" vertical="center" wrapText="1"/>
    </xf>
    <xf numFmtId="181" fontId="15" fillId="0" borderId="28" xfId="1" applyFont="1" applyFill="1" applyBorder="1" applyAlignment="1">
      <alignment horizontal="center" vertical="center" wrapText="1"/>
    </xf>
    <xf numFmtId="0" fontId="0" fillId="0" borderId="28" xfId="0" applyFill="1" applyBorder="1" applyAlignment="1">
      <alignment vertical="center" wrapText="1"/>
    </xf>
    <xf numFmtId="187" fontId="15" fillId="0" borderId="11" xfId="1" applyNumberFormat="1" applyFont="1" applyFill="1" applyBorder="1" applyAlignment="1">
      <alignment horizontal="center" vertical="center" wrapText="1"/>
    </xf>
    <xf numFmtId="187" fontId="0" fillId="0" borderId="11" xfId="0" applyNumberFormat="1" applyBorder="1" applyAlignment="1">
      <alignment vertical="center" wrapText="1"/>
    </xf>
    <xf numFmtId="187" fontId="0" fillId="0" borderId="11" xfId="1" applyNumberFormat="1" applyBorder="1" applyAlignment="1">
      <alignment vertical="center" wrapText="1"/>
    </xf>
    <xf numFmtId="0" fontId="0" fillId="0" borderId="0" xfId="0" applyBorder="1">
      <alignment vertical="center"/>
    </xf>
    <xf numFmtId="0" fontId="19" fillId="8" borderId="1" xfId="0" applyFont="1" applyFill="1" applyBorder="1" applyAlignment="1">
      <alignment vertical="center"/>
    </xf>
    <xf numFmtId="0" fontId="19" fillId="8" borderId="2" xfId="0" applyFont="1" applyFill="1" applyBorder="1" applyAlignment="1">
      <alignment vertical="center"/>
    </xf>
    <xf numFmtId="0" fontId="20" fillId="8" borderId="2" xfId="0" applyFont="1" applyFill="1" applyBorder="1" applyAlignment="1">
      <alignment horizontal="center" vertical="center"/>
    </xf>
    <xf numFmtId="0" fontId="21" fillId="8" borderId="3" xfId="0" applyFont="1" applyFill="1" applyBorder="1" applyAlignment="1">
      <alignment vertical="center" wrapText="1"/>
    </xf>
    <xf numFmtId="0" fontId="21" fillId="8" borderId="0" xfId="0" applyFont="1" applyFill="1" applyBorder="1" applyAlignment="1">
      <alignment vertical="center" wrapText="1"/>
    </xf>
    <xf numFmtId="0" fontId="21" fillId="8" borderId="0" xfId="0" applyFont="1" applyFill="1" applyBorder="1" applyAlignment="1">
      <alignment horizontal="center" vertical="center" wrapText="1"/>
    </xf>
    <xf numFmtId="0" fontId="12" fillId="8" borderId="0" xfId="0" applyFont="1" applyFill="1" applyAlignment="1">
      <alignment horizontal="center" vertical="center" wrapText="1"/>
    </xf>
    <xf numFmtId="0" fontId="12" fillId="8" borderId="0" xfId="0" applyFont="1" applyFill="1" applyBorder="1" applyAlignment="1">
      <alignment vertical="center" wrapText="1"/>
    </xf>
    <xf numFmtId="0" fontId="12" fillId="8" borderId="39" xfId="0" applyFont="1" applyFill="1" applyBorder="1" applyAlignment="1">
      <alignment vertical="center" wrapText="1"/>
    </xf>
    <xf numFmtId="17" fontId="12" fillId="8" borderId="13" xfId="0" applyNumberFormat="1" applyFont="1" applyFill="1" applyBorder="1" applyAlignment="1">
      <alignment horizontal="right" vertical="center" wrapText="1"/>
    </xf>
    <xf numFmtId="0" fontId="12" fillId="8" borderId="12" xfId="0" applyFont="1" applyFill="1" applyBorder="1" applyAlignment="1">
      <alignment horizontal="left" vertical="center" wrapText="1"/>
    </xf>
    <xf numFmtId="0" fontId="12" fillId="8" borderId="31" xfId="0" applyFont="1" applyFill="1" applyBorder="1" applyAlignment="1">
      <alignment horizontal="left" vertical="center" wrapText="1"/>
    </xf>
    <xf numFmtId="0" fontId="12" fillId="8" borderId="12" xfId="0" applyFont="1" applyFill="1" applyBorder="1" applyAlignment="1">
      <alignment horizontal="right" vertical="center" wrapText="1"/>
    </xf>
    <xf numFmtId="0" fontId="22" fillId="8" borderId="14" xfId="0" applyFont="1" applyFill="1" applyBorder="1" applyAlignment="1">
      <alignment horizontal="center" vertical="center"/>
    </xf>
    <xf numFmtId="0" fontId="22" fillId="8" borderId="28" xfId="0" applyFont="1" applyFill="1" applyBorder="1" applyAlignment="1">
      <alignment horizontal="center" vertical="center"/>
    </xf>
    <xf numFmtId="181" fontId="22" fillId="8" borderId="28" xfId="1" applyFont="1" applyFill="1" applyBorder="1" applyAlignment="1">
      <alignment horizontal="center" vertical="center"/>
    </xf>
    <xf numFmtId="181" fontId="22" fillId="8" borderId="28" xfId="1" applyFont="1" applyFill="1" applyBorder="1" applyAlignment="1">
      <alignment horizontal="center" vertical="center" wrapText="1"/>
    </xf>
    <xf numFmtId="181" fontId="22" fillId="8" borderId="15" xfId="1" applyFont="1" applyFill="1" applyBorder="1" applyAlignment="1">
      <alignment horizontal="center" vertical="center" wrapText="1"/>
    </xf>
    <xf numFmtId="0" fontId="22" fillId="8" borderId="34" xfId="0" applyFont="1" applyFill="1" applyBorder="1" applyAlignment="1">
      <alignment horizontal="center" vertical="center"/>
    </xf>
    <xf numFmtId="0" fontId="22" fillId="8" borderId="29" xfId="0" applyFont="1" applyFill="1" applyBorder="1" applyAlignment="1">
      <alignment horizontal="center" vertical="center"/>
    </xf>
    <xf numFmtId="181" fontId="22" fillId="8" borderId="29" xfId="1" applyFont="1" applyFill="1" applyBorder="1" applyAlignment="1">
      <alignment horizontal="center" vertical="center"/>
    </xf>
    <xf numFmtId="181" fontId="22" fillId="8" borderId="29" xfId="1" applyFont="1" applyFill="1" applyBorder="1" applyAlignment="1">
      <alignment horizontal="center" vertical="center" wrapText="1"/>
    </xf>
    <xf numFmtId="0" fontId="21" fillId="9" borderId="28" xfId="0" applyFont="1" applyFill="1" applyBorder="1" applyAlignment="1">
      <alignment horizontal="center" vertical="center"/>
    </xf>
    <xf numFmtId="0" fontId="12" fillId="9" borderId="28" xfId="0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horizontal="left" vertical="center" wrapText="1"/>
    </xf>
    <xf numFmtId="181" fontId="12" fillId="0" borderId="11" xfId="1" applyFont="1" applyFill="1" applyBorder="1" applyAlignment="1">
      <alignment horizontal="center" vertical="center"/>
    </xf>
    <xf numFmtId="181" fontId="12" fillId="0" borderId="11" xfId="1" applyNumberFormat="1" applyFont="1" applyFill="1" applyBorder="1" applyAlignment="1">
      <alignment horizontal="center" vertical="center"/>
    </xf>
    <xf numFmtId="181" fontId="0" fillId="0" borderId="11" xfId="1" applyFill="1" applyBorder="1">
      <alignment vertical="center"/>
    </xf>
    <xf numFmtId="0" fontId="21" fillId="9" borderId="11" xfId="0" applyFont="1" applyFill="1" applyBorder="1" applyAlignment="1">
      <alignment horizontal="center" vertical="center"/>
    </xf>
    <xf numFmtId="0" fontId="12" fillId="9" borderId="11" xfId="0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horizontal="left" vertical="center"/>
    </xf>
    <xf numFmtId="181" fontId="12" fillId="0" borderId="11" xfId="1" applyFont="1" applyBorder="1" applyAlignment="1">
      <alignment horizontal="center" vertical="center"/>
    </xf>
    <xf numFmtId="0" fontId="23" fillId="0" borderId="28" xfId="0" applyFont="1" applyFill="1" applyBorder="1" applyAlignment="1">
      <alignment horizontal="left" vertical="center"/>
    </xf>
    <xf numFmtId="49" fontId="23" fillId="0" borderId="11" xfId="0" applyNumberFormat="1" applyFont="1" applyFill="1" applyBorder="1" applyAlignment="1">
      <alignment horizontal="center" vertical="center"/>
    </xf>
    <xf numFmtId="0" fontId="23" fillId="0" borderId="28" xfId="0" applyFont="1" applyFill="1" applyBorder="1" applyAlignment="1">
      <alignment horizontal="left" vertical="center" wrapText="1"/>
    </xf>
    <xf numFmtId="181" fontId="19" fillId="8" borderId="20" xfId="1" applyFont="1" applyFill="1" applyBorder="1" applyAlignment="1">
      <alignment vertical="center"/>
    </xf>
    <xf numFmtId="181" fontId="21" fillId="8" borderId="21" xfId="1" applyFont="1" applyFill="1" applyBorder="1" applyAlignment="1">
      <alignment vertical="center" wrapText="1"/>
    </xf>
    <xf numFmtId="17" fontId="12" fillId="8" borderId="31" xfId="1" applyNumberFormat="1" applyFont="1" applyFill="1" applyBorder="1" applyAlignment="1">
      <alignment horizontal="left" vertical="center" wrapText="1"/>
    </xf>
    <xf numFmtId="10" fontId="12" fillId="0" borderId="31" xfId="0" applyNumberFormat="1" applyFont="1" applyFill="1" applyBorder="1" applyAlignment="1" applyProtection="1">
      <alignment horizontal="left" vertical="center" wrapText="1"/>
    </xf>
    <xf numFmtId="10" fontId="12" fillId="0" borderId="31" xfId="0" applyNumberFormat="1" applyFont="1" applyFill="1" applyBorder="1" applyAlignment="1">
      <alignment horizontal="left" vertical="center" wrapText="1"/>
    </xf>
    <xf numFmtId="181" fontId="22" fillId="8" borderId="33" xfId="1" applyFont="1" applyFill="1" applyBorder="1" applyAlignment="1">
      <alignment horizontal="center" vertical="center" wrapText="1"/>
    </xf>
    <xf numFmtId="181" fontId="22" fillId="8" borderId="30" xfId="1" applyFont="1" applyFill="1" applyBorder="1" applyAlignment="1">
      <alignment horizontal="center" vertical="center" wrapText="1"/>
    </xf>
    <xf numFmtId="181" fontId="12" fillId="9" borderId="28" xfId="1" applyFont="1" applyFill="1" applyBorder="1" applyAlignment="1">
      <alignment horizontal="center" vertical="center"/>
    </xf>
    <xf numFmtId="188" fontId="0" fillId="0" borderId="0" xfId="0" applyNumberFormat="1">
      <alignment vertical="center"/>
    </xf>
    <xf numFmtId="181" fontId="12" fillId="9" borderId="11" xfId="1" applyFont="1" applyFill="1" applyBorder="1" applyAlignment="1">
      <alignment horizontal="center" vertical="center"/>
    </xf>
    <xf numFmtId="178" fontId="0" fillId="0" borderId="11" xfId="0" applyNumberFormat="1" applyFont="1" applyFill="1" applyBorder="1" applyAlignment="1">
      <alignment vertical="center"/>
    </xf>
    <xf numFmtId="0" fontId="21" fillId="9" borderId="18" xfId="0" applyFont="1" applyFill="1" applyBorder="1" applyAlignment="1">
      <alignment horizontal="center" vertical="center"/>
    </xf>
    <xf numFmtId="0" fontId="21" fillId="9" borderId="37" xfId="0" applyFont="1" applyFill="1" applyBorder="1" applyAlignment="1">
      <alignment horizontal="center" vertical="center"/>
    </xf>
    <xf numFmtId="0" fontId="21" fillId="9" borderId="19" xfId="0" applyFont="1" applyFill="1" applyBorder="1" applyAlignment="1">
      <alignment horizontal="center" vertical="center"/>
    </xf>
    <xf numFmtId="181" fontId="11" fillId="9" borderId="28" xfId="1" applyNumberFormat="1" applyFont="1" applyFill="1" applyBorder="1" applyAlignment="1">
      <alignment horizontal="center" vertical="center"/>
    </xf>
    <xf numFmtId="181" fontId="11" fillId="9" borderId="28" xfId="1" applyFont="1" applyFill="1" applyBorder="1" applyAlignment="1">
      <alignment horizontal="center" vertical="center"/>
    </xf>
    <xf numFmtId="186" fontId="11" fillId="9" borderId="11" xfId="1" applyNumberFormat="1" applyFont="1" applyFill="1" applyBorder="1" applyAlignment="1">
      <alignment horizontal="center" vertical="center"/>
    </xf>
    <xf numFmtId="0" fontId="23" fillId="0" borderId="11" xfId="0" applyFont="1" applyFill="1" applyBorder="1" applyAlignment="1" quotePrefix="1">
      <alignment horizontal="center" vertical="center"/>
    </xf>
  </cellXfs>
  <cellStyles count="50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Normal 2" xfId="14"/>
    <cellStyle name="40% - Ênfase 6" xfId="15" builtinId="51"/>
    <cellStyle name="Texto de Aviso" xfId="16" builtinId="11"/>
    <cellStyle name="Título" xfId="17" builtinId="15"/>
    <cellStyle name="Texto Explicativo" xfId="18" builtinId="53"/>
    <cellStyle name="Ênfase 3" xfId="19" builtinId="37"/>
    <cellStyle name="Título 1" xfId="20" builtinId="16"/>
    <cellStyle name="Ênfase 4" xfId="21" builtinId="41"/>
    <cellStyle name="Título 2" xfId="22" builtinId="17"/>
    <cellStyle name="Ênfase 5" xfId="23" builtinId="45"/>
    <cellStyle name="Título 3" xfId="24" builtinId="18"/>
    <cellStyle name="Ênfase 6" xfId="25" builtinId="49"/>
    <cellStyle name="Título 4" xfId="26" builtinId="19"/>
    <cellStyle name="Entrada" xfId="27" builtinId="20"/>
    <cellStyle name="Saída" xfId="28" builtinId="21"/>
    <cellStyle name="Cálculo" xfId="29" builtinId="22"/>
    <cellStyle name="Total" xfId="30" builtinId="25"/>
    <cellStyle name="40% - Ênfase 1" xfId="31" builtinId="31"/>
    <cellStyle name="Bom" xfId="32" builtinId="26"/>
    <cellStyle name="Ruim" xfId="33" builtinId="27"/>
    <cellStyle name="Neutro" xfId="34" builtinId="28"/>
    <cellStyle name="20% - Ênfase 5" xfId="35" builtinId="46"/>
    <cellStyle name="Ênfase 1" xfId="36" builtinId="29"/>
    <cellStyle name="20% - Ênfase 1" xfId="37" builtinId="30"/>
    <cellStyle name="60% - Ênfase 1" xfId="38" builtinId="32"/>
    <cellStyle name="20% - Ênfase 6" xfId="39" builtinId="50"/>
    <cellStyle name="Ênfase 2" xfId="40" builtinId="33"/>
    <cellStyle name="20% - Ênfase 2" xfId="41" builtinId="34"/>
    <cellStyle name="60% - Ênfase 2" xfId="42" builtinId="36"/>
    <cellStyle name="40% - Ênfase 3" xfId="43" builtinId="39"/>
    <cellStyle name="60% - Ênfase 3" xfId="44" builtinId="40"/>
    <cellStyle name="20% - Ênfase 4" xfId="45" builtinId="42"/>
    <cellStyle name="60% - Ênfase 4" xfId="46" builtinId="44"/>
    <cellStyle name="40% - Ênfase 5" xfId="47" builtinId="47"/>
    <cellStyle name="60% - Ênfase 5" xfId="48" builtinId="48"/>
    <cellStyle name="60% - Ênfase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166370</xdr:colOff>
      <xdr:row>0</xdr:row>
      <xdr:rowOff>67310</xdr:rowOff>
    </xdr:from>
    <xdr:to>
      <xdr:col>1</xdr:col>
      <xdr:colOff>556260</xdr:colOff>
      <xdr:row>5</xdr:row>
      <xdr:rowOff>47625</xdr:rowOff>
    </xdr:to>
    <xdr:pic>
      <xdr:nvPicPr>
        <xdr:cNvPr id="3" name="Imagem 37" descr="brasao2.jp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66370" y="67310"/>
          <a:ext cx="999490" cy="1151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166370</xdr:colOff>
      <xdr:row>0</xdr:row>
      <xdr:rowOff>67310</xdr:rowOff>
    </xdr:from>
    <xdr:to>
      <xdr:col>1</xdr:col>
      <xdr:colOff>556260</xdr:colOff>
      <xdr:row>5</xdr:row>
      <xdr:rowOff>47625</xdr:rowOff>
    </xdr:to>
    <xdr:pic>
      <xdr:nvPicPr>
        <xdr:cNvPr id="5" name="Imagem 37" descr="brasao2.jp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66370" y="67310"/>
          <a:ext cx="999490" cy="115189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166370</xdr:colOff>
      <xdr:row>0</xdr:row>
      <xdr:rowOff>67310</xdr:rowOff>
    </xdr:from>
    <xdr:to>
      <xdr:col>1</xdr:col>
      <xdr:colOff>261620</xdr:colOff>
      <xdr:row>4</xdr:row>
      <xdr:rowOff>83820</xdr:rowOff>
    </xdr:to>
    <xdr:pic>
      <xdr:nvPicPr>
        <xdr:cNvPr id="4" name="Imagem 37" descr="brasao2.jp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66370" y="67310"/>
          <a:ext cx="704850" cy="77851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190500</xdr:colOff>
      <xdr:row>1</xdr:row>
      <xdr:rowOff>259715</xdr:rowOff>
    </xdr:from>
    <xdr:to>
      <xdr:col>2</xdr:col>
      <xdr:colOff>699770</xdr:colOff>
      <xdr:row>2</xdr:row>
      <xdr:rowOff>154305</xdr:rowOff>
    </xdr:to>
    <xdr:pic>
      <xdr:nvPicPr>
        <xdr:cNvPr id="6" name="Imagem 5" descr="brasao.jpg"/>
        <xdr:cNvPicPr>
          <a:picLocks noChangeAspect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23850" y="459740"/>
          <a:ext cx="1004570" cy="1101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190500</xdr:colOff>
      <xdr:row>1</xdr:row>
      <xdr:rowOff>259715</xdr:rowOff>
    </xdr:from>
    <xdr:to>
      <xdr:col>2</xdr:col>
      <xdr:colOff>699770</xdr:colOff>
      <xdr:row>2</xdr:row>
      <xdr:rowOff>154305</xdr:rowOff>
    </xdr:to>
    <xdr:pic>
      <xdr:nvPicPr>
        <xdr:cNvPr id="5" name="Imagem 4" descr="brasao.jpg"/>
        <xdr:cNvPicPr>
          <a:picLocks noChangeAspect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23850" y="459740"/>
          <a:ext cx="1004570" cy="1101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323850</xdr:colOff>
      <xdr:row>52</xdr:row>
      <xdr:rowOff>152400</xdr:rowOff>
    </xdr:to>
    <xdr:pic>
      <xdr:nvPicPr>
        <xdr:cNvPr id="2" name="Picture 1" descr="Info__001723_page-000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0"/>
          <a:ext cx="7029450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0"/>
  <sheetViews>
    <sheetView tabSelected="1" topLeftCell="A180" workbookViewId="0">
      <selection activeCell="F18" sqref="F18"/>
    </sheetView>
  </sheetViews>
  <sheetFormatPr defaultColWidth="9.14285714285714" defaultRowHeight="15"/>
  <cols>
    <col min="2" max="2" width="10.8571428571429" customWidth="1"/>
    <col min="3" max="3" width="12.8571428571429"/>
    <col min="4" max="4" width="81" customWidth="1"/>
    <col min="6" max="6" width="9.85714285714286" customWidth="1"/>
    <col min="7" max="7" width="17.7142857142857" customWidth="1"/>
    <col min="8" max="8" width="14.1428571428571"/>
    <col min="9" max="9" width="16.4285714285714"/>
    <col min="10" max="10" width="11.5714285714286" customWidth="1"/>
  </cols>
  <sheetData>
    <row r="1" ht="30" spans="1:9">
      <c r="A1" s="278"/>
      <c r="B1" s="279"/>
      <c r="C1" s="279"/>
      <c r="D1" s="280" t="s">
        <v>0</v>
      </c>
      <c r="E1" s="279"/>
      <c r="F1" s="279"/>
      <c r="G1" s="279"/>
      <c r="H1" s="279"/>
      <c r="I1" s="314"/>
    </row>
    <row r="2" ht="15.75" spans="1:9">
      <c r="A2" s="281"/>
      <c r="B2" s="282"/>
      <c r="C2" s="282"/>
      <c r="D2" s="283" t="s">
        <v>1</v>
      </c>
      <c r="E2" s="282"/>
      <c r="F2" s="282"/>
      <c r="G2" s="282"/>
      <c r="H2" s="282"/>
      <c r="I2" s="315"/>
    </row>
    <row r="3" spans="1:9">
      <c r="A3" s="147"/>
      <c r="B3" s="148"/>
      <c r="C3" s="284"/>
      <c r="D3" s="148"/>
      <c r="E3" s="148"/>
      <c r="F3" s="148"/>
      <c r="G3" s="148"/>
      <c r="H3" s="148"/>
      <c r="I3" s="215"/>
    </row>
    <row r="4" spans="1:9">
      <c r="A4" s="147"/>
      <c r="B4" s="148"/>
      <c r="C4" s="284"/>
      <c r="D4" s="148"/>
      <c r="E4" s="148"/>
      <c r="F4" s="148"/>
      <c r="G4" s="148"/>
      <c r="H4" s="148"/>
      <c r="I4" s="215"/>
    </row>
    <row r="5" ht="16.5" spans="1:9">
      <c r="A5" s="281"/>
      <c r="B5" s="282"/>
      <c r="C5" s="282"/>
      <c r="D5" s="283" t="s">
        <v>2</v>
      </c>
      <c r="E5" s="282"/>
      <c r="F5" s="282"/>
      <c r="G5" s="282"/>
      <c r="H5" s="282"/>
      <c r="I5" s="315"/>
    </row>
    <row r="6" ht="15.75" spans="1:9">
      <c r="A6" s="147"/>
      <c r="B6" s="148"/>
      <c r="C6" s="284"/>
      <c r="D6" s="148"/>
      <c r="E6" s="277"/>
      <c r="F6" s="285"/>
      <c r="G6" s="286" t="s">
        <v>3</v>
      </c>
      <c r="H6" s="287" t="s">
        <v>4</v>
      </c>
      <c r="I6" s="316">
        <v>44621</v>
      </c>
    </row>
    <row r="7" ht="15.75" spans="1:9">
      <c r="A7" s="157" t="s">
        <v>5</v>
      </c>
      <c r="B7" s="288" t="s">
        <v>6</v>
      </c>
      <c r="C7" s="162"/>
      <c r="D7" s="162"/>
      <c r="E7" s="162"/>
      <c r="F7" s="162"/>
      <c r="G7" s="289"/>
      <c r="H7" s="290" t="s">
        <v>7</v>
      </c>
      <c r="I7" s="317">
        <v>0.3196</v>
      </c>
    </row>
    <row r="8" ht="15.75" spans="1:9">
      <c r="A8" s="161" t="s">
        <v>8</v>
      </c>
      <c r="B8" s="288" t="s">
        <v>9</v>
      </c>
      <c r="C8" s="162"/>
      <c r="D8" s="162"/>
      <c r="E8" s="162"/>
      <c r="F8" s="162"/>
      <c r="G8" s="289"/>
      <c r="H8" s="290" t="s">
        <v>10</v>
      </c>
      <c r="I8" s="318">
        <v>1.5727</v>
      </c>
    </row>
    <row r="9" spans="1:9">
      <c r="A9" s="291" t="s">
        <v>11</v>
      </c>
      <c r="B9" s="292" t="s">
        <v>12</v>
      </c>
      <c r="C9" s="292"/>
      <c r="D9" s="292" t="s">
        <v>13</v>
      </c>
      <c r="E9" s="292" t="s">
        <v>14</v>
      </c>
      <c r="F9" s="293" t="s">
        <v>15</v>
      </c>
      <c r="G9" s="294" t="s">
        <v>16</v>
      </c>
      <c r="H9" s="295" t="s">
        <v>17</v>
      </c>
      <c r="I9" s="319" t="s">
        <v>18</v>
      </c>
    </row>
    <row r="10" ht="15.75" spans="1:9">
      <c r="A10" s="296"/>
      <c r="B10" s="297" t="s">
        <v>19</v>
      </c>
      <c r="C10" s="297" t="s">
        <v>20</v>
      </c>
      <c r="D10" s="297"/>
      <c r="E10" s="297"/>
      <c r="F10" s="298"/>
      <c r="G10" s="299"/>
      <c r="H10" s="299"/>
      <c r="I10" s="320"/>
    </row>
    <row r="11" ht="15.75" spans="1:9">
      <c r="A11" s="300" t="s">
        <v>21</v>
      </c>
      <c r="B11" s="301"/>
      <c r="C11" s="301"/>
      <c r="D11" s="300" t="s">
        <v>22</v>
      </c>
      <c r="E11" s="301"/>
      <c r="F11" s="301"/>
      <c r="G11" s="301"/>
      <c r="H11" s="301"/>
      <c r="I11" s="321"/>
    </row>
    <row r="12" ht="15.75" spans="1:9">
      <c r="A12" s="300" t="s">
        <v>23</v>
      </c>
      <c r="B12" s="301"/>
      <c r="C12" s="301"/>
      <c r="D12" s="300" t="s">
        <v>24</v>
      </c>
      <c r="E12" s="301"/>
      <c r="F12" s="301"/>
      <c r="G12" s="301"/>
      <c r="H12" s="301"/>
      <c r="I12" s="321"/>
    </row>
    <row r="13" customFormat="1" ht="15.75" spans="1:10">
      <c r="A13" s="302" t="s">
        <v>25</v>
      </c>
      <c r="B13" s="302" t="s">
        <v>4</v>
      </c>
      <c r="C13" s="331" t="s">
        <v>26</v>
      </c>
      <c r="D13" s="303" t="s">
        <v>27</v>
      </c>
      <c r="E13" s="211" t="s">
        <v>28</v>
      </c>
      <c r="F13" s="304">
        <f>ROUND(VLOOKUP(A13,'Memorial de cálculo'!$A:$I,9,FALSE),2)</f>
        <v>8</v>
      </c>
      <c r="G13" s="211">
        <v>269.37</v>
      </c>
      <c r="H13" s="305">
        <f>ROUND(G13*(1+$I$7),2)</f>
        <v>355.46</v>
      </c>
      <c r="I13" s="304">
        <f>ROUND(H13*F13,2)</f>
        <v>2843.68</v>
      </c>
      <c r="J13" s="322"/>
    </row>
    <row r="14" customFormat="1" ht="15.75" spans="1:9">
      <c r="A14" s="302" t="s">
        <v>29</v>
      </c>
      <c r="B14" s="302" t="s">
        <v>4</v>
      </c>
      <c r="C14" s="331" t="s">
        <v>30</v>
      </c>
      <c r="D14" s="303" t="s">
        <v>31</v>
      </c>
      <c r="E14" s="211" t="s">
        <v>32</v>
      </c>
      <c r="F14" s="304">
        <f>ROUND(VLOOKUP(A14,'Memorial de cálculo'!$A:$I,9,FALSE),2)</f>
        <v>8.3</v>
      </c>
      <c r="G14" s="211">
        <v>12.84</v>
      </c>
      <c r="H14" s="305">
        <f>ROUND(G14*(1+$I$7),2)</f>
        <v>16.94</v>
      </c>
      <c r="I14" s="304">
        <f>ROUND(H14*F14,2)</f>
        <v>140.6</v>
      </c>
    </row>
    <row r="15" customFormat="1" ht="47.25" spans="1:9">
      <c r="A15" s="302" t="s">
        <v>33</v>
      </c>
      <c r="B15" s="302" t="s">
        <v>4</v>
      </c>
      <c r="C15" s="331" t="s">
        <v>34</v>
      </c>
      <c r="D15" s="303" t="s">
        <v>35</v>
      </c>
      <c r="E15" s="211" t="s">
        <v>28</v>
      </c>
      <c r="F15" s="304">
        <f>ROUND(VLOOKUP(A15,'Memorial de cálculo'!$A:$I,9,FALSE),2)</f>
        <v>12</v>
      </c>
      <c r="G15" s="211">
        <v>221.65</v>
      </c>
      <c r="H15" s="305">
        <f>ROUND(G15*(1+$I$7),2)</f>
        <v>292.49</v>
      </c>
      <c r="I15" s="304">
        <f>ROUND(H15*F15,2)</f>
        <v>3509.88</v>
      </c>
    </row>
    <row r="16" customFormat="1" ht="47.25" spans="1:9">
      <c r="A16" s="302" t="s">
        <v>36</v>
      </c>
      <c r="B16" s="302" t="s">
        <v>4</v>
      </c>
      <c r="C16" s="331" t="s">
        <v>37</v>
      </c>
      <c r="D16" s="303" t="s">
        <v>38</v>
      </c>
      <c r="E16" s="211" t="s">
        <v>28</v>
      </c>
      <c r="F16" s="304">
        <f>ROUND(VLOOKUP(A16,'Memorial de cálculo'!$A:$I,9,FALSE),2)</f>
        <v>6</v>
      </c>
      <c r="G16" s="306">
        <v>291.9</v>
      </c>
      <c r="H16" s="305">
        <f>ROUND(G16*(1+$I$7),2)</f>
        <v>385.19</v>
      </c>
      <c r="I16" s="304">
        <f>ROUND(H16*F16,2)</f>
        <v>2311.14</v>
      </c>
    </row>
    <row r="17" ht="15.75" spans="1:9">
      <c r="A17" s="307" t="s">
        <v>39</v>
      </c>
      <c r="B17" s="308"/>
      <c r="C17" s="308"/>
      <c r="D17" s="300" t="s">
        <v>40</v>
      </c>
      <c r="E17" s="308"/>
      <c r="F17" s="308"/>
      <c r="G17" s="308"/>
      <c r="H17" s="308"/>
      <c r="I17" s="323"/>
    </row>
    <row r="18" ht="15.75" spans="1:9">
      <c r="A18" s="302" t="s">
        <v>41</v>
      </c>
      <c r="B18" s="302" t="s">
        <v>4</v>
      </c>
      <c r="C18" s="331" t="s">
        <v>42</v>
      </c>
      <c r="D18" s="309" t="s">
        <v>43</v>
      </c>
      <c r="E18" s="302" t="s">
        <v>28</v>
      </c>
      <c r="F18" s="304">
        <f>ROUND(VLOOKUP(A18,'Memorial de cálculo'!$A:$I,9,FALSE),2)</f>
        <v>154.72</v>
      </c>
      <c r="G18" s="310">
        <v>8.05</v>
      </c>
      <c r="H18" s="305">
        <f t="shared" ref="H18:H32" si="0">ROUND(G18*(1+$I$7),2)</f>
        <v>10.62</v>
      </c>
      <c r="I18" s="304">
        <f>ROUND(H18*F18,2)</f>
        <v>1643.13</v>
      </c>
    </row>
    <row r="19" ht="15.75" spans="1:9">
      <c r="A19" s="302" t="s">
        <v>44</v>
      </c>
      <c r="B19" s="302" t="s">
        <v>4</v>
      </c>
      <c r="C19" s="331" t="s">
        <v>45</v>
      </c>
      <c r="D19" s="309" t="s">
        <v>46</v>
      </c>
      <c r="E19" s="302" t="s">
        <v>28</v>
      </c>
      <c r="F19" s="304">
        <f>ROUND(VLOOKUP(A19,'Memorial de cálculo'!$A:$I,9,FALSE),2)</f>
        <v>256.71</v>
      </c>
      <c r="G19" s="310">
        <v>8.05</v>
      </c>
      <c r="H19" s="305">
        <f t="shared" si="0"/>
        <v>10.62</v>
      </c>
      <c r="I19" s="304">
        <f t="shared" ref="I19:I32" si="1">ROUND(H19*F19,2)</f>
        <v>2726.26</v>
      </c>
    </row>
    <row r="20" ht="31.5" spans="1:9">
      <c r="A20" s="302" t="s">
        <v>47</v>
      </c>
      <c r="B20" s="302" t="s">
        <v>4</v>
      </c>
      <c r="C20" s="331" t="s">
        <v>48</v>
      </c>
      <c r="D20" s="303" t="s">
        <v>49</v>
      </c>
      <c r="E20" s="302" t="s">
        <v>28</v>
      </c>
      <c r="F20" s="304">
        <f>ROUND(VLOOKUP(A20,'Memorial de cálculo'!$A:$I,9,FALSE),2)</f>
        <v>658.55</v>
      </c>
      <c r="G20" s="310">
        <v>3.05</v>
      </c>
      <c r="H20" s="305">
        <f t="shared" si="0"/>
        <v>4.02</v>
      </c>
      <c r="I20" s="304">
        <f t="shared" si="1"/>
        <v>2647.37</v>
      </c>
    </row>
    <row r="21" ht="15.75" spans="1:9">
      <c r="A21" s="302" t="s">
        <v>50</v>
      </c>
      <c r="B21" s="302" t="s">
        <v>4</v>
      </c>
      <c r="C21" s="331" t="s">
        <v>51</v>
      </c>
      <c r="D21" s="309" t="s">
        <v>52</v>
      </c>
      <c r="E21" s="302" t="s">
        <v>28</v>
      </c>
      <c r="F21" s="304">
        <f>ROUND(VLOOKUP(A21,'Memorial de cálculo'!$A:$I,9,FALSE),2)</f>
        <v>43.56</v>
      </c>
      <c r="G21" s="310">
        <v>12.87</v>
      </c>
      <c r="H21" s="305">
        <f t="shared" si="0"/>
        <v>16.98</v>
      </c>
      <c r="I21" s="304">
        <f t="shared" si="1"/>
        <v>739.65</v>
      </c>
    </row>
    <row r="22" ht="15.75" spans="1:9">
      <c r="A22" s="302" t="s">
        <v>53</v>
      </c>
      <c r="B22" s="302" t="s">
        <v>4</v>
      </c>
      <c r="C22" s="331" t="s">
        <v>54</v>
      </c>
      <c r="D22" s="309" t="s">
        <v>55</v>
      </c>
      <c r="E22" s="302" t="s">
        <v>28</v>
      </c>
      <c r="F22" s="304">
        <f>ROUND(VLOOKUP(A22,'Memorial de cálculo'!$A:$I,9,FALSE),2)</f>
        <v>3.6</v>
      </c>
      <c r="G22" s="310">
        <v>8.05</v>
      </c>
      <c r="H22" s="305">
        <f t="shared" si="0"/>
        <v>10.62</v>
      </c>
      <c r="I22" s="304">
        <f t="shared" si="1"/>
        <v>38.23</v>
      </c>
    </row>
    <row r="23" ht="15.75" spans="1:9">
      <c r="A23" s="302" t="s">
        <v>56</v>
      </c>
      <c r="B23" s="302" t="s">
        <v>4</v>
      </c>
      <c r="C23" s="331" t="s">
        <v>57</v>
      </c>
      <c r="D23" s="309" t="s">
        <v>58</v>
      </c>
      <c r="E23" s="302" t="s">
        <v>59</v>
      </c>
      <c r="F23" s="304">
        <f>ROUND(VLOOKUP(A23,'Memorial de cálculo'!$A:$I,9,FALSE),2)</f>
        <v>76</v>
      </c>
      <c r="G23" s="310">
        <v>8.81</v>
      </c>
      <c r="H23" s="305">
        <f t="shared" si="0"/>
        <v>11.63</v>
      </c>
      <c r="I23" s="304">
        <f t="shared" si="1"/>
        <v>883.88</v>
      </c>
    </row>
    <row r="24" s="127" customFormat="1" ht="15.75" spans="1:9">
      <c r="A24" s="302" t="s">
        <v>60</v>
      </c>
      <c r="B24" s="302" t="s">
        <v>4</v>
      </c>
      <c r="C24" s="331" t="s">
        <v>61</v>
      </c>
      <c r="D24" s="309" t="s">
        <v>62</v>
      </c>
      <c r="E24" s="302" t="s">
        <v>28</v>
      </c>
      <c r="F24" s="304">
        <f>ROUND(VLOOKUP(A24,'Memorial de cálculo'!$A:$I,9,FALSE),2)</f>
        <v>41.33</v>
      </c>
      <c r="G24" s="304">
        <v>15.75</v>
      </c>
      <c r="H24" s="305">
        <f t="shared" si="0"/>
        <v>20.78</v>
      </c>
      <c r="I24" s="304">
        <f t="shared" si="1"/>
        <v>858.84</v>
      </c>
    </row>
    <row r="25" ht="15.75" spans="1:9">
      <c r="A25" s="302" t="s">
        <v>63</v>
      </c>
      <c r="B25" s="302" t="s">
        <v>4</v>
      </c>
      <c r="C25" s="331" t="s">
        <v>64</v>
      </c>
      <c r="D25" s="311" t="s">
        <v>65</v>
      </c>
      <c r="E25" s="302" t="s">
        <v>28</v>
      </c>
      <c r="F25" s="304">
        <f>ROUND(VLOOKUP(A25,'Memorial de cálculo'!$A:$I,9,FALSE),2)</f>
        <v>48.8</v>
      </c>
      <c r="G25" s="310">
        <v>20.92</v>
      </c>
      <c r="H25" s="305">
        <f t="shared" si="0"/>
        <v>27.61</v>
      </c>
      <c r="I25" s="304">
        <f t="shared" si="1"/>
        <v>1347.37</v>
      </c>
    </row>
    <row r="26" ht="15.75" spans="1:9">
      <c r="A26" s="302" t="s">
        <v>66</v>
      </c>
      <c r="B26" s="302" t="s">
        <v>4</v>
      </c>
      <c r="C26" s="331" t="s">
        <v>67</v>
      </c>
      <c r="D26" s="311" t="s">
        <v>68</v>
      </c>
      <c r="E26" s="302" t="s">
        <v>28</v>
      </c>
      <c r="F26" s="304">
        <f>ROUND(VLOOKUP(A26,'Memorial de cálculo'!$A:$I,9,FALSE),2)</f>
        <v>40.7</v>
      </c>
      <c r="G26" s="310">
        <v>14.18</v>
      </c>
      <c r="H26" s="305">
        <f t="shared" si="0"/>
        <v>18.71</v>
      </c>
      <c r="I26" s="304">
        <f t="shared" si="1"/>
        <v>761.5</v>
      </c>
    </row>
    <row r="27" ht="15.75" spans="1:9">
      <c r="A27" s="302" t="s">
        <v>69</v>
      </c>
      <c r="B27" s="302" t="s">
        <v>4</v>
      </c>
      <c r="C27" s="312" t="s">
        <v>70</v>
      </c>
      <c r="D27" s="311" t="s">
        <v>71</v>
      </c>
      <c r="E27" s="302" t="s">
        <v>72</v>
      </c>
      <c r="F27" s="304">
        <f>ROUND(VLOOKUP(A27,'Memorial de cálculo'!$A:$I,9,FALSE),2)</f>
        <v>8.69</v>
      </c>
      <c r="G27" s="310">
        <v>48.28</v>
      </c>
      <c r="H27" s="305">
        <f t="shared" si="0"/>
        <v>63.71</v>
      </c>
      <c r="I27" s="304">
        <f t="shared" si="1"/>
        <v>553.64</v>
      </c>
    </row>
    <row r="28" ht="15.75" spans="1:9">
      <c r="A28" s="302" t="s">
        <v>73</v>
      </c>
      <c r="B28" s="302" t="s">
        <v>4</v>
      </c>
      <c r="C28" s="312" t="s">
        <v>74</v>
      </c>
      <c r="D28" s="311" t="s">
        <v>75</v>
      </c>
      <c r="E28" s="302" t="s">
        <v>28</v>
      </c>
      <c r="F28" s="304">
        <f>ROUND(VLOOKUP(A28,'Memorial de cálculo'!$A:$I,9,FALSE),2)</f>
        <v>21.62</v>
      </c>
      <c r="G28" s="310">
        <v>7.79</v>
      </c>
      <c r="H28" s="305">
        <f t="shared" si="0"/>
        <v>10.28</v>
      </c>
      <c r="I28" s="304">
        <f t="shared" si="1"/>
        <v>222.25</v>
      </c>
    </row>
    <row r="29" ht="15.75" spans="1:9">
      <c r="A29" s="302" t="s">
        <v>76</v>
      </c>
      <c r="B29" s="302" t="s">
        <v>4</v>
      </c>
      <c r="C29" s="312" t="s">
        <v>77</v>
      </c>
      <c r="D29" s="311" t="s">
        <v>78</v>
      </c>
      <c r="E29" s="302" t="s">
        <v>28</v>
      </c>
      <c r="F29" s="304">
        <f>ROUND(VLOOKUP(A29,'Memorial de cálculo'!$A:$I,9,FALSE),2)</f>
        <v>21.62</v>
      </c>
      <c r="G29" s="310">
        <v>23.46</v>
      </c>
      <c r="H29" s="305">
        <f t="shared" si="0"/>
        <v>30.96</v>
      </c>
      <c r="I29" s="304">
        <f t="shared" si="1"/>
        <v>669.36</v>
      </c>
    </row>
    <row r="30" ht="15.75" spans="1:9">
      <c r="A30" s="302" t="s">
        <v>79</v>
      </c>
      <c r="B30" s="302" t="s">
        <v>4</v>
      </c>
      <c r="C30" s="312" t="s">
        <v>80</v>
      </c>
      <c r="D30" s="311" t="s">
        <v>81</v>
      </c>
      <c r="E30" s="302" t="s">
        <v>32</v>
      </c>
      <c r="F30" s="304">
        <f>ROUND(VLOOKUP(A30,'Memorial de cálculo'!$A:$I,9,FALSE),2)</f>
        <v>5</v>
      </c>
      <c r="G30" s="310">
        <v>2</v>
      </c>
      <c r="H30" s="305">
        <f t="shared" si="0"/>
        <v>2.64</v>
      </c>
      <c r="I30" s="304">
        <f t="shared" si="1"/>
        <v>13.2</v>
      </c>
    </row>
    <row r="31" ht="15.75" spans="1:9">
      <c r="A31" s="302" t="s">
        <v>82</v>
      </c>
      <c r="B31" s="302" t="s">
        <v>4</v>
      </c>
      <c r="C31" s="312" t="s">
        <v>83</v>
      </c>
      <c r="D31" s="311" t="s">
        <v>84</v>
      </c>
      <c r="E31" s="302" t="s">
        <v>32</v>
      </c>
      <c r="F31" s="304">
        <f>ROUND(VLOOKUP(A31,'Memorial de cálculo'!$A:$I,9,FALSE),2)</f>
        <v>5</v>
      </c>
      <c r="G31" s="310">
        <v>0.5</v>
      </c>
      <c r="H31" s="305">
        <f t="shared" si="0"/>
        <v>0.66</v>
      </c>
      <c r="I31" s="304">
        <f t="shared" si="1"/>
        <v>3.3</v>
      </c>
    </row>
    <row r="32" ht="15.75" spans="1:9">
      <c r="A32" s="302" t="s">
        <v>85</v>
      </c>
      <c r="B32" s="302" t="s">
        <v>4</v>
      </c>
      <c r="C32" s="312" t="s">
        <v>86</v>
      </c>
      <c r="D32" s="311" t="s">
        <v>87</v>
      </c>
      <c r="E32" s="302" t="s">
        <v>59</v>
      </c>
      <c r="F32" s="304">
        <f>ROUND(VLOOKUP(A32,'Memorial de cálculo'!$A:$I,9,FALSE),2)</f>
        <v>1</v>
      </c>
      <c r="G32" s="310">
        <v>11.96</v>
      </c>
      <c r="H32" s="305">
        <f t="shared" si="0"/>
        <v>15.78</v>
      </c>
      <c r="I32" s="304">
        <f t="shared" si="1"/>
        <v>15.78</v>
      </c>
    </row>
    <row r="33" ht="15.75" spans="1:9">
      <c r="A33" s="307" t="s">
        <v>88</v>
      </c>
      <c r="B33" s="308"/>
      <c r="C33" s="308"/>
      <c r="D33" s="300" t="s">
        <v>89</v>
      </c>
      <c r="E33" s="308"/>
      <c r="F33" s="308"/>
      <c r="G33" s="308"/>
      <c r="H33" s="308"/>
      <c r="I33" s="323"/>
    </row>
    <row r="34" s="127" customFormat="1" ht="31.5" spans="1:9">
      <c r="A34" s="302" t="s">
        <v>90</v>
      </c>
      <c r="B34" s="302" t="s">
        <v>4</v>
      </c>
      <c r="C34" s="331" t="s">
        <v>91</v>
      </c>
      <c r="D34" s="303" t="s">
        <v>92</v>
      </c>
      <c r="E34" s="302" t="s">
        <v>32</v>
      </c>
      <c r="F34" s="304">
        <f>ROUND(VLOOKUP(A34,'Memorial de cálculo'!$A:$I,9,FALSE),2)</f>
        <v>53.9</v>
      </c>
      <c r="G34" s="304">
        <v>8.75</v>
      </c>
      <c r="H34" s="305">
        <f>ROUND(G34*(1+$I$7),2)</f>
        <v>11.55</v>
      </c>
      <c r="I34" s="304">
        <f>ROUND(H34*F34,2)</f>
        <v>622.55</v>
      </c>
    </row>
    <row r="35" ht="47.25" spans="1:9">
      <c r="A35" s="302" t="s">
        <v>93</v>
      </c>
      <c r="B35" s="302" t="s">
        <v>4</v>
      </c>
      <c r="C35" s="331" t="s">
        <v>94</v>
      </c>
      <c r="D35" s="303" t="s">
        <v>95</v>
      </c>
      <c r="E35" s="302" t="s">
        <v>28</v>
      </c>
      <c r="F35" s="304">
        <f>ROUND(VLOOKUP(A35,'Memorial de cálculo'!$A:$I,9,FALSE),2)</f>
        <v>26.13</v>
      </c>
      <c r="G35" s="310">
        <v>58.85</v>
      </c>
      <c r="H35" s="305">
        <f>ROUND(G35*(1+$I$7),2)</f>
        <v>77.66</v>
      </c>
      <c r="I35" s="304">
        <f>ROUND(H35*F35,2)</f>
        <v>2029.26</v>
      </c>
    </row>
    <row r="36" ht="47.25" spans="1:9">
      <c r="A36" s="302" t="s">
        <v>96</v>
      </c>
      <c r="B36" s="302" t="s">
        <v>4</v>
      </c>
      <c r="C36" s="331" t="s">
        <v>97</v>
      </c>
      <c r="D36" s="313" t="s">
        <v>98</v>
      </c>
      <c r="E36" s="302" t="s">
        <v>28</v>
      </c>
      <c r="F36" s="304">
        <f>ROUND(VLOOKUP(A36,'Memorial de cálculo'!$A:$I,9,FALSE),2)</f>
        <v>1.98</v>
      </c>
      <c r="G36" s="310">
        <v>107.26</v>
      </c>
      <c r="H36" s="305">
        <f>ROUND(G36*(1+$I$7),2)</f>
        <v>141.54</v>
      </c>
      <c r="I36" s="304">
        <f>ROUND(H36*F36,2)</f>
        <v>280.25</v>
      </c>
    </row>
    <row r="37" ht="15.75" spans="1:9">
      <c r="A37" s="307" t="s">
        <v>99</v>
      </c>
      <c r="B37" s="308"/>
      <c r="C37" s="308"/>
      <c r="D37" s="300" t="s">
        <v>100</v>
      </c>
      <c r="E37" s="308"/>
      <c r="F37" s="308"/>
      <c r="G37" s="308"/>
      <c r="H37" s="308"/>
      <c r="I37" s="323"/>
    </row>
    <row r="38" ht="31.5" spans="1:9">
      <c r="A38" s="302" t="s">
        <v>101</v>
      </c>
      <c r="B38" s="302" t="s">
        <v>4</v>
      </c>
      <c r="C38" s="331" t="s">
        <v>102</v>
      </c>
      <c r="D38" s="303" t="s">
        <v>103</v>
      </c>
      <c r="E38" s="302" t="s">
        <v>59</v>
      </c>
      <c r="F38" s="304">
        <f>ROUND(VLOOKUP(A38,'Memorial de cálculo'!$A:$I,9,FALSE),2)</f>
        <v>1</v>
      </c>
      <c r="G38" s="310">
        <v>351.21</v>
      </c>
      <c r="H38" s="305">
        <f t="shared" ref="H38:H44" si="2">ROUND(G38*(1+$I$7),2)</f>
        <v>463.46</v>
      </c>
      <c r="I38" s="304">
        <f>ROUND(H38*F38,2)</f>
        <v>463.46</v>
      </c>
    </row>
    <row r="39" ht="31.5" spans="1:9">
      <c r="A39" s="302" t="s">
        <v>104</v>
      </c>
      <c r="B39" s="302" t="s">
        <v>4</v>
      </c>
      <c r="C39" s="331" t="s">
        <v>105</v>
      </c>
      <c r="D39" s="303" t="s">
        <v>106</v>
      </c>
      <c r="E39" s="302" t="s">
        <v>59</v>
      </c>
      <c r="F39" s="304">
        <f>ROUND(VLOOKUP(A39,'Memorial de cálculo'!$A:$I,9,FALSE),2)</f>
        <v>2</v>
      </c>
      <c r="G39" s="310">
        <v>351.21</v>
      </c>
      <c r="H39" s="305">
        <f t="shared" si="2"/>
        <v>463.46</v>
      </c>
      <c r="I39" s="304">
        <f t="shared" ref="I39:I44" si="3">ROUND(H39*F39,2)</f>
        <v>926.92</v>
      </c>
    </row>
    <row r="40" ht="31.5" spans="1:9">
      <c r="A40" s="302" t="s">
        <v>107</v>
      </c>
      <c r="B40" s="302" t="s">
        <v>4</v>
      </c>
      <c r="C40" s="331" t="s">
        <v>108</v>
      </c>
      <c r="D40" s="303" t="s">
        <v>109</v>
      </c>
      <c r="E40" s="302" t="s">
        <v>59</v>
      </c>
      <c r="F40" s="304">
        <f>ROUND(VLOOKUP(A40,'Memorial de cálculo'!$A:$I,9,FALSE),2)</f>
        <v>8</v>
      </c>
      <c r="G40" s="310">
        <v>351.21</v>
      </c>
      <c r="H40" s="305">
        <f t="shared" si="2"/>
        <v>463.46</v>
      </c>
      <c r="I40" s="304">
        <f t="shared" si="3"/>
        <v>3707.68</v>
      </c>
    </row>
    <row r="41" ht="47.25" spans="1:9">
      <c r="A41" s="302" t="s">
        <v>110</v>
      </c>
      <c r="B41" s="302" t="s">
        <v>4</v>
      </c>
      <c r="C41" s="331" t="s">
        <v>111</v>
      </c>
      <c r="D41" s="303" t="s">
        <v>112</v>
      </c>
      <c r="E41" s="302" t="s">
        <v>59</v>
      </c>
      <c r="F41" s="304">
        <f>ROUND(VLOOKUP(A41,'Memorial de cálculo'!$A:$I,9,FALSE),2)</f>
        <v>1</v>
      </c>
      <c r="G41" s="310">
        <v>888.25</v>
      </c>
      <c r="H41" s="305">
        <f t="shared" si="2"/>
        <v>1172.13</v>
      </c>
      <c r="I41" s="304">
        <f t="shared" si="3"/>
        <v>1172.13</v>
      </c>
    </row>
    <row r="42" ht="47.25" spans="1:9">
      <c r="A42" s="302" t="s">
        <v>113</v>
      </c>
      <c r="B42" s="302" t="s">
        <v>4</v>
      </c>
      <c r="C42" s="331" t="s">
        <v>114</v>
      </c>
      <c r="D42" s="303" t="s">
        <v>115</v>
      </c>
      <c r="E42" s="302" t="s">
        <v>59</v>
      </c>
      <c r="F42" s="304">
        <f>ROUND(VLOOKUP(A42,'Memorial de cálculo'!$A:$I,9,FALSE),2)</f>
        <v>2</v>
      </c>
      <c r="G42" s="310">
        <v>896.17</v>
      </c>
      <c r="H42" s="305">
        <f t="shared" si="2"/>
        <v>1182.59</v>
      </c>
      <c r="I42" s="304">
        <f t="shared" si="3"/>
        <v>2365.18</v>
      </c>
    </row>
    <row r="43" ht="47.25" spans="1:9">
      <c r="A43" s="302" t="s">
        <v>116</v>
      </c>
      <c r="B43" s="302" t="s">
        <v>4</v>
      </c>
      <c r="C43" s="331" t="s">
        <v>117</v>
      </c>
      <c r="D43" s="303" t="s">
        <v>118</v>
      </c>
      <c r="E43" s="302" t="s">
        <v>59</v>
      </c>
      <c r="F43" s="304">
        <f>ROUND(VLOOKUP(A43,'Memorial de cálculo'!$A:$I,9,FALSE),2)</f>
        <v>3</v>
      </c>
      <c r="G43" s="310">
        <v>904.42</v>
      </c>
      <c r="H43" s="305">
        <f t="shared" si="2"/>
        <v>1193.47</v>
      </c>
      <c r="I43" s="304">
        <f t="shared" si="3"/>
        <v>3580.41</v>
      </c>
    </row>
    <row r="44" ht="47.25" spans="1:9">
      <c r="A44" s="302" t="s">
        <v>119</v>
      </c>
      <c r="B44" s="302" t="s">
        <v>4</v>
      </c>
      <c r="C44" s="331" t="s">
        <v>120</v>
      </c>
      <c r="D44" s="303" t="s">
        <v>121</v>
      </c>
      <c r="E44" s="302" t="s">
        <v>59</v>
      </c>
      <c r="F44" s="304">
        <f>ROUND(VLOOKUP(A44,'Memorial de cálculo'!$A:$I,9,FALSE),2)</f>
        <v>5</v>
      </c>
      <c r="G44" s="310">
        <v>1524.32</v>
      </c>
      <c r="H44" s="305">
        <f t="shared" si="2"/>
        <v>2011.49</v>
      </c>
      <c r="I44" s="304">
        <f t="shared" si="3"/>
        <v>10057.45</v>
      </c>
    </row>
    <row r="45" ht="15.75" spans="1:9">
      <c r="A45" s="307" t="s">
        <v>122</v>
      </c>
      <c r="B45" s="308"/>
      <c r="C45" s="308"/>
      <c r="D45" s="300" t="s">
        <v>123</v>
      </c>
      <c r="E45" s="308"/>
      <c r="F45" s="308"/>
      <c r="G45" s="308"/>
      <c r="H45" s="308"/>
      <c r="I45" s="323"/>
    </row>
    <row r="46" s="127" customFormat="1" ht="15.75" spans="1:9">
      <c r="A46" s="302" t="s">
        <v>124</v>
      </c>
      <c r="B46" s="302" t="s">
        <v>4</v>
      </c>
      <c r="C46" s="331" t="s">
        <v>125</v>
      </c>
      <c r="D46" s="309" t="s">
        <v>126</v>
      </c>
      <c r="E46" s="302" t="s">
        <v>28</v>
      </c>
      <c r="F46" s="304">
        <f>ROUND(VLOOKUP(A46,'Memorial de cálculo'!$A:$I,9,FALSE),2)</f>
        <v>43.34</v>
      </c>
      <c r="G46" s="304">
        <v>337.03</v>
      </c>
      <c r="H46" s="305">
        <f>ROUND(G46*(1+$I$7),2)</f>
        <v>444.74</v>
      </c>
      <c r="I46" s="304">
        <f>ROUND(H46*F46,2)</f>
        <v>19275.03</v>
      </c>
    </row>
    <row r="47" s="127" customFormat="1" ht="31.5" spans="1:9">
      <c r="A47" s="302" t="s">
        <v>127</v>
      </c>
      <c r="B47" s="302" t="s">
        <v>4</v>
      </c>
      <c r="C47" s="331" t="s">
        <v>128</v>
      </c>
      <c r="D47" s="303" t="s">
        <v>129</v>
      </c>
      <c r="E47" s="302" t="s">
        <v>28</v>
      </c>
      <c r="F47" s="304">
        <f>ROUND(VLOOKUP(A47,'Memorial de cálculo'!$A:$I,9,FALSE),2)</f>
        <v>45.14</v>
      </c>
      <c r="G47" s="304">
        <v>574.43</v>
      </c>
      <c r="H47" s="305">
        <f>ROUND(G47*(1+$I$7),2)</f>
        <v>758.02</v>
      </c>
      <c r="I47" s="304">
        <f>ROUND(H47*F47,2)</f>
        <v>34217.02</v>
      </c>
    </row>
    <row r="48" s="127" customFormat="1" ht="31.5" spans="1:9">
      <c r="A48" s="302" t="s">
        <v>130</v>
      </c>
      <c r="B48" s="302" t="s">
        <v>4</v>
      </c>
      <c r="C48" s="331" t="s">
        <v>131</v>
      </c>
      <c r="D48" s="303" t="s">
        <v>132</v>
      </c>
      <c r="E48" s="302" t="s">
        <v>28</v>
      </c>
      <c r="F48" s="304">
        <f>ROUND(VLOOKUP(A48,'Memorial de cálculo'!$A:$I,9,FALSE),2)</f>
        <v>0.97</v>
      </c>
      <c r="G48" s="304">
        <v>479.73</v>
      </c>
      <c r="H48" s="305">
        <f>ROUND(G48*(1+$I$7),2)</f>
        <v>633.05</v>
      </c>
      <c r="I48" s="304">
        <f>ROUND(H48*F48,2)</f>
        <v>614.06</v>
      </c>
    </row>
    <row r="49" s="127" customFormat="1" ht="15.75" spans="1:9">
      <c r="A49" s="302" t="s">
        <v>133</v>
      </c>
      <c r="B49" s="302" t="s">
        <v>4</v>
      </c>
      <c r="C49" s="331" t="s">
        <v>134</v>
      </c>
      <c r="D49" s="313" t="s">
        <v>135</v>
      </c>
      <c r="E49" s="302" t="s">
        <v>28</v>
      </c>
      <c r="F49" s="304">
        <f>ROUND(VLOOKUP(A49,'Memorial de cálculo'!$A:$I,9,FALSE),2)</f>
        <v>5.88</v>
      </c>
      <c r="G49" s="304">
        <v>568.95</v>
      </c>
      <c r="H49" s="305">
        <f>ROUND(G49*(1+$I$7),2)</f>
        <v>750.79</v>
      </c>
      <c r="I49" s="304">
        <f>ROUND(H49*F49,2)</f>
        <v>4414.65</v>
      </c>
    </row>
    <row r="50" s="127" customFormat="1" ht="31.5" spans="1:9">
      <c r="A50" s="302" t="s">
        <v>136</v>
      </c>
      <c r="B50" s="302" t="s">
        <v>4</v>
      </c>
      <c r="C50" s="331" t="s">
        <v>137</v>
      </c>
      <c r="D50" s="313" t="s">
        <v>138</v>
      </c>
      <c r="E50" s="302" t="s">
        <v>28</v>
      </c>
      <c r="F50" s="304">
        <v>3.25</v>
      </c>
      <c r="G50" s="304">
        <v>142.57</v>
      </c>
      <c r="H50" s="305">
        <f>ROUND(G50*(1+$I$7),2)</f>
        <v>188.14</v>
      </c>
      <c r="I50" s="304">
        <f>ROUND(H50*F50,2)</f>
        <v>611.46</v>
      </c>
    </row>
    <row r="51" ht="15.75" spans="1:9">
      <c r="A51" s="307" t="s">
        <v>139</v>
      </c>
      <c r="B51" s="308"/>
      <c r="C51" s="308"/>
      <c r="D51" s="300" t="s">
        <v>140</v>
      </c>
      <c r="E51" s="308"/>
      <c r="F51" s="308"/>
      <c r="G51" s="308"/>
      <c r="H51" s="308"/>
      <c r="I51" s="323"/>
    </row>
    <row r="52" s="127" customFormat="1" ht="15.75" spans="1:9">
      <c r="A52" s="302" t="s">
        <v>141</v>
      </c>
      <c r="B52" s="302" t="s">
        <v>4</v>
      </c>
      <c r="C52" s="331" t="s">
        <v>142</v>
      </c>
      <c r="D52" s="309" t="s">
        <v>143</v>
      </c>
      <c r="E52" s="302" t="s">
        <v>28</v>
      </c>
      <c r="F52" s="304">
        <f>ROUND(VLOOKUP(A52,'Memorial de cálculo'!$A:$I,9,FALSE),2)</f>
        <v>32.55</v>
      </c>
      <c r="G52" s="304">
        <v>284.5</v>
      </c>
      <c r="H52" s="305">
        <f>ROUND(G52*(1+$I$7),2)</f>
        <v>375.43</v>
      </c>
      <c r="I52" s="304">
        <f>ROUND(H52*F52,2)</f>
        <v>12220.25</v>
      </c>
    </row>
    <row r="53" s="127" customFormat="1" ht="15.75" spans="1:9">
      <c r="A53" s="302" t="s">
        <v>144</v>
      </c>
      <c r="B53" s="302" t="s">
        <v>4</v>
      </c>
      <c r="C53" s="331" t="s">
        <v>145</v>
      </c>
      <c r="D53" s="303" t="s">
        <v>146</v>
      </c>
      <c r="E53" s="302" t="s">
        <v>28</v>
      </c>
      <c r="F53" s="304">
        <f>ROUND(VLOOKUP(A53,'Memorial de cálculo'!$A:$I,9,FALSE),2)</f>
        <v>0.66</v>
      </c>
      <c r="G53" s="304">
        <v>321</v>
      </c>
      <c r="H53" s="305">
        <f>ROUND(G53*(1+$I$7),2)</f>
        <v>423.59</v>
      </c>
      <c r="I53" s="304">
        <f>ROUND(H53*F53,2)</f>
        <v>279.57</v>
      </c>
    </row>
    <row r="54" ht="15.75" spans="1:9">
      <c r="A54" s="307" t="s">
        <v>147</v>
      </c>
      <c r="B54" s="308"/>
      <c r="C54" s="308"/>
      <c r="D54" s="300" t="s">
        <v>148</v>
      </c>
      <c r="E54" s="308"/>
      <c r="F54" s="308"/>
      <c r="G54" s="308"/>
      <c r="H54" s="308"/>
      <c r="I54" s="323"/>
    </row>
    <row r="55" ht="31.5" spans="1:9">
      <c r="A55" s="302" t="s">
        <v>149</v>
      </c>
      <c r="B55" s="302" t="s">
        <v>4</v>
      </c>
      <c r="C55" s="302">
        <v>120101</v>
      </c>
      <c r="D55" s="303" t="s">
        <v>150</v>
      </c>
      <c r="E55" s="302" t="s">
        <v>28</v>
      </c>
      <c r="F55" s="304">
        <f>ROUND(VLOOKUP(A55,'Memorial de cálculo'!$A:$I,9,FALSE),2)</f>
        <v>216.26</v>
      </c>
      <c r="G55" s="310">
        <v>5.8</v>
      </c>
      <c r="H55" s="305">
        <f>ROUND(G55*(1+$I$7),2)</f>
        <v>7.65</v>
      </c>
      <c r="I55" s="304">
        <f>ROUND(H55*F55,2)</f>
        <v>1654.39</v>
      </c>
    </row>
    <row r="56" ht="47.25" spans="1:9">
      <c r="A56" s="302" t="s">
        <v>151</v>
      </c>
      <c r="B56" s="302" t="s">
        <v>4</v>
      </c>
      <c r="C56" s="302">
        <v>120201</v>
      </c>
      <c r="D56" s="303" t="s">
        <v>152</v>
      </c>
      <c r="E56" s="302" t="s">
        <v>28</v>
      </c>
      <c r="F56" s="304">
        <f>ROUND(VLOOKUP(A56,'Memorial de cálculo'!$A:$I,9,FALSE),2)</f>
        <v>164.57</v>
      </c>
      <c r="G56" s="310">
        <v>103.24</v>
      </c>
      <c r="H56" s="305">
        <f>ROUND(G56*(1+$I$7),2)</f>
        <v>136.24</v>
      </c>
      <c r="I56" s="304">
        <f>ROUND(H56*F56,2)</f>
        <v>22421.02</v>
      </c>
    </row>
    <row r="57" ht="31.5" spans="1:9">
      <c r="A57" s="302" t="s">
        <v>153</v>
      </c>
      <c r="B57" s="302" t="s">
        <v>4</v>
      </c>
      <c r="C57" s="302">
        <v>120301</v>
      </c>
      <c r="D57" s="303" t="s">
        <v>154</v>
      </c>
      <c r="E57" s="187" t="s">
        <v>28</v>
      </c>
      <c r="F57" s="304">
        <f>ROUND(VLOOKUP(A57,'Memorial de cálculo'!$A:$I,9,FALSE),2)</f>
        <v>163.14</v>
      </c>
      <c r="G57" s="187">
        <v>28.24</v>
      </c>
      <c r="H57" s="305">
        <f>ROUND(G57*(1+$I$7),2)</f>
        <v>37.27</v>
      </c>
      <c r="I57" s="304">
        <f>ROUND(H57*F57,2)</f>
        <v>6080.23</v>
      </c>
    </row>
    <row r="58" ht="31.5" spans="1:9">
      <c r="A58" s="302" t="s">
        <v>155</v>
      </c>
      <c r="B58" s="302" t="s">
        <v>4</v>
      </c>
      <c r="C58" s="302">
        <v>120303</v>
      </c>
      <c r="D58" s="303" t="s">
        <v>156</v>
      </c>
      <c r="E58" s="187" t="s">
        <v>28</v>
      </c>
      <c r="F58" s="304">
        <f>ROUND(VLOOKUP(A58,'Memorial de cálculo'!$A:$I,9,FALSE),2)</f>
        <v>53.12</v>
      </c>
      <c r="G58" s="187">
        <v>48.15</v>
      </c>
      <c r="H58" s="305">
        <f>ROUND(G58*(1+$I$7),2)</f>
        <v>63.54</v>
      </c>
      <c r="I58" s="304">
        <f>ROUND(H58*F58,2)</f>
        <v>3375.24</v>
      </c>
    </row>
    <row r="59" ht="15.75" spans="1:9">
      <c r="A59" s="307" t="s">
        <v>157</v>
      </c>
      <c r="B59" s="308"/>
      <c r="C59" s="308"/>
      <c r="D59" s="300" t="s">
        <v>158</v>
      </c>
      <c r="E59" s="308"/>
      <c r="F59" s="308"/>
      <c r="G59" s="308"/>
      <c r="H59" s="308"/>
      <c r="I59" s="323"/>
    </row>
    <row r="60" ht="31.5" spans="1:9">
      <c r="A60" s="302" t="s">
        <v>159</v>
      </c>
      <c r="B60" s="302" t="s">
        <v>4</v>
      </c>
      <c r="C60" s="331" t="s">
        <v>160</v>
      </c>
      <c r="D60" s="303" t="s">
        <v>161</v>
      </c>
      <c r="E60" s="187" t="s">
        <v>72</v>
      </c>
      <c r="F60" s="304">
        <f>ROUND(VLOOKUP(A60,'Memorial de cálculo'!$A:$I,9,FALSE),2)</f>
        <v>4.12</v>
      </c>
      <c r="G60" s="187">
        <v>153.13</v>
      </c>
      <c r="H60" s="305">
        <f>ROUND(G60*(1+$I$7),2)</f>
        <v>202.07</v>
      </c>
      <c r="I60" s="304">
        <f>ROUND(H60*F60,2)</f>
        <v>832.53</v>
      </c>
    </row>
    <row r="61" ht="15.75" spans="1:9">
      <c r="A61" s="307" t="s">
        <v>162</v>
      </c>
      <c r="B61" s="308"/>
      <c r="C61" s="308"/>
      <c r="D61" s="300" t="s">
        <v>163</v>
      </c>
      <c r="E61" s="308"/>
      <c r="F61" s="308"/>
      <c r="G61" s="308"/>
      <c r="H61" s="308"/>
      <c r="I61" s="323"/>
    </row>
    <row r="62" s="127" customFormat="1" ht="15.75" spans="1:9">
      <c r="A62" s="302" t="s">
        <v>164</v>
      </c>
      <c r="B62" s="302" t="s">
        <v>4</v>
      </c>
      <c r="C62" s="302">
        <v>130110</v>
      </c>
      <c r="D62" s="303" t="s">
        <v>165</v>
      </c>
      <c r="E62" s="211" t="s">
        <v>28</v>
      </c>
      <c r="F62" s="304">
        <f>ROUND(VLOOKUP(A62,'Memorial de cálculo'!$A:$I,9,FALSE),2)</f>
        <v>61.68</v>
      </c>
      <c r="G62" s="211">
        <v>54.91</v>
      </c>
      <c r="H62" s="305">
        <f>ROUND(G62*(1+$I$7),2)</f>
        <v>72.46</v>
      </c>
      <c r="I62" s="304">
        <f>ROUND(H62*F62,2)</f>
        <v>4469.33</v>
      </c>
    </row>
    <row r="63" ht="31.5" spans="1:9">
      <c r="A63" s="302" t="s">
        <v>166</v>
      </c>
      <c r="B63" s="302" t="s">
        <v>4</v>
      </c>
      <c r="C63" s="302">
        <v>130202</v>
      </c>
      <c r="D63" s="303" t="s">
        <v>167</v>
      </c>
      <c r="E63" s="211" t="s">
        <v>28</v>
      </c>
      <c r="F63" s="304">
        <f>ROUND(VLOOKUP(A63,'Memorial de cálculo'!$A:$I,9,FALSE),2)</f>
        <v>75.61</v>
      </c>
      <c r="G63" s="211">
        <v>47.6</v>
      </c>
      <c r="H63" s="305">
        <f>ROUND(G63*(1+$I$7),2)</f>
        <v>62.81</v>
      </c>
      <c r="I63" s="304">
        <f>ROUND(H63*F63,2)</f>
        <v>4749.06</v>
      </c>
    </row>
    <row r="64" ht="31.5" spans="1:9">
      <c r="A64" s="302" t="s">
        <v>168</v>
      </c>
      <c r="B64" s="302" t="s">
        <v>4</v>
      </c>
      <c r="C64" s="302">
        <v>130103</v>
      </c>
      <c r="D64" s="303" t="s">
        <v>169</v>
      </c>
      <c r="E64" s="211" t="s">
        <v>28</v>
      </c>
      <c r="F64" s="304">
        <f>ROUND(VLOOKUP(A64,'Memorial de cálculo'!$A:$I,9,FALSE),2)</f>
        <v>206.3</v>
      </c>
      <c r="G64" s="211">
        <v>20.46</v>
      </c>
      <c r="H64" s="305">
        <f>ROUND(G64*(1+$I$7),2)</f>
        <v>27</v>
      </c>
      <c r="I64" s="304">
        <f>ROUND(H64*F64,2)</f>
        <v>5570.1</v>
      </c>
    </row>
    <row r="65" ht="31.5" spans="1:9">
      <c r="A65" s="302" t="s">
        <v>170</v>
      </c>
      <c r="B65" s="302" t="s">
        <v>4</v>
      </c>
      <c r="C65" s="302">
        <v>130219</v>
      </c>
      <c r="D65" s="303" t="s">
        <v>171</v>
      </c>
      <c r="E65" s="211" t="s">
        <v>28</v>
      </c>
      <c r="F65" s="304">
        <f>ROUND(VLOOKUP(A65,'Memorial de cálculo'!$A:$I,9,FALSE),2)</f>
        <v>206.3</v>
      </c>
      <c r="G65" s="211">
        <v>70.42</v>
      </c>
      <c r="H65" s="305">
        <f>ROUND(G65*(1+$I$7),2)</f>
        <v>92.93</v>
      </c>
      <c r="I65" s="304">
        <f>ROUND(H65*F65,2)</f>
        <v>19171.46</v>
      </c>
    </row>
    <row r="66" ht="15.75" spans="1:9">
      <c r="A66" s="307" t="s">
        <v>172</v>
      </c>
      <c r="B66" s="308"/>
      <c r="C66" s="308"/>
      <c r="D66" s="300" t="s">
        <v>173</v>
      </c>
      <c r="E66" s="308"/>
      <c r="F66" s="308"/>
      <c r="G66" s="308"/>
      <c r="H66" s="308"/>
      <c r="I66" s="323"/>
    </row>
    <row r="67" s="127" customFormat="1" ht="31.5" spans="1:9">
      <c r="A67" s="302" t="s">
        <v>174</v>
      </c>
      <c r="B67" s="302" t="s">
        <v>4</v>
      </c>
      <c r="C67" s="302">
        <v>151601</v>
      </c>
      <c r="D67" s="303" t="s">
        <v>175</v>
      </c>
      <c r="E67" s="211" t="s">
        <v>32</v>
      </c>
      <c r="F67" s="304">
        <f>ROUND(VLOOKUP(A67,'Memorial de cálculo'!$A:$I,9,FALSE),2)</f>
        <v>30.5</v>
      </c>
      <c r="G67" s="211">
        <v>10.29</v>
      </c>
      <c r="H67" s="305">
        <f t="shared" ref="H67:H90" si="4">ROUND(G67*(1+$I$7),2)</f>
        <v>13.58</v>
      </c>
      <c r="I67" s="304">
        <f>ROUND(H67*F67,2)</f>
        <v>414.19</v>
      </c>
    </row>
    <row r="68" s="127" customFormat="1" ht="15.75" spans="1:9">
      <c r="A68" s="302" t="s">
        <v>176</v>
      </c>
      <c r="B68" s="302" t="s">
        <v>4</v>
      </c>
      <c r="C68" s="302">
        <v>151132</v>
      </c>
      <c r="D68" s="303" t="s">
        <v>177</v>
      </c>
      <c r="E68" s="211" t="s">
        <v>32</v>
      </c>
      <c r="F68" s="304">
        <f>ROUND(VLOOKUP(A68,'Memorial de cálculo'!$A:$I,9,FALSE),2)</f>
        <v>15</v>
      </c>
      <c r="G68" s="211">
        <v>8.23</v>
      </c>
      <c r="H68" s="305">
        <f t="shared" si="4"/>
        <v>10.86</v>
      </c>
      <c r="I68" s="304">
        <f t="shared" ref="I68:I85" si="5">ROUND(H68*F68,2)</f>
        <v>162.9</v>
      </c>
    </row>
    <row r="69" s="127" customFormat="1" ht="31.5" spans="1:9">
      <c r="A69" s="302" t="s">
        <v>178</v>
      </c>
      <c r="B69" s="302" t="s">
        <v>4</v>
      </c>
      <c r="C69" s="302">
        <v>150313</v>
      </c>
      <c r="D69" s="303" t="s">
        <v>179</v>
      </c>
      <c r="E69" s="211" t="s">
        <v>59</v>
      </c>
      <c r="F69" s="304">
        <f>ROUND(VLOOKUP(A69,'Memorial de cálculo'!$A:$I,9,FALSE),2)</f>
        <v>1</v>
      </c>
      <c r="G69" s="211">
        <v>188.66</v>
      </c>
      <c r="H69" s="305">
        <f t="shared" si="4"/>
        <v>248.96</v>
      </c>
      <c r="I69" s="304">
        <f t="shared" si="5"/>
        <v>248.96</v>
      </c>
    </row>
    <row r="70" s="127" customFormat="1" ht="15.75" spans="1:9">
      <c r="A70" s="302" t="s">
        <v>180</v>
      </c>
      <c r="B70" s="302" t="s">
        <v>4</v>
      </c>
      <c r="C70" s="302">
        <v>151402</v>
      </c>
      <c r="D70" s="303" t="s">
        <v>181</v>
      </c>
      <c r="E70" s="211" t="s">
        <v>32</v>
      </c>
      <c r="F70" s="304">
        <f>ROUND(VLOOKUP(A70,'Memorial de cálculo'!$A:$I,9,FALSE),2)</f>
        <v>45</v>
      </c>
      <c r="G70" s="211">
        <v>6.65</v>
      </c>
      <c r="H70" s="305">
        <f t="shared" si="4"/>
        <v>8.78</v>
      </c>
      <c r="I70" s="304">
        <f t="shared" si="5"/>
        <v>395.1</v>
      </c>
    </row>
    <row r="71" s="127" customFormat="1" ht="47.25" spans="1:9">
      <c r="A71" s="302" t="s">
        <v>182</v>
      </c>
      <c r="B71" s="302" t="s">
        <v>4</v>
      </c>
      <c r="C71" s="302">
        <v>181002</v>
      </c>
      <c r="D71" s="303" t="s">
        <v>183</v>
      </c>
      <c r="E71" s="211" t="s">
        <v>59</v>
      </c>
      <c r="F71" s="304">
        <f>ROUND(VLOOKUP(A71,'Memorial de cálculo'!$A:$I,9,FALSE),2)</f>
        <v>24</v>
      </c>
      <c r="G71" s="211">
        <v>198.91</v>
      </c>
      <c r="H71" s="305">
        <f t="shared" si="4"/>
        <v>262.48</v>
      </c>
      <c r="I71" s="304">
        <f t="shared" si="5"/>
        <v>6299.52</v>
      </c>
    </row>
    <row r="72" s="127" customFormat="1" ht="47.25" spans="1:9">
      <c r="A72" s="302" t="s">
        <v>184</v>
      </c>
      <c r="B72" s="302" t="s">
        <v>4</v>
      </c>
      <c r="C72" s="302">
        <v>180108</v>
      </c>
      <c r="D72" s="303" t="s">
        <v>185</v>
      </c>
      <c r="E72" s="211" t="s">
        <v>59</v>
      </c>
      <c r="F72" s="304">
        <f>ROUND(VLOOKUP(A72,'Memorial de cálculo'!$A:$I,9,FALSE),2)</f>
        <v>4</v>
      </c>
      <c r="G72" s="211">
        <v>118.67</v>
      </c>
      <c r="H72" s="305">
        <f t="shared" si="4"/>
        <v>156.6</v>
      </c>
      <c r="I72" s="304">
        <f t="shared" si="5"/>
        <v>626.4</v>
      </c>
    </row>
    <row r="73" s="127" customFormat="1" ht="31.5" spans="1:9">
      <c r="A73" s="302" t="s">
        <v>186</v>
      </c>
      <c r="B73" s="302" t="s">
        <v>4</v>
      </c>
      <c r="C73" s="302">
        <v>180201</v>
      </c>
      <c r="D73" s="303" t="s">
        <v>187</v>
      </c>
      <c r="E73" s="211" t="s">
        <v>59</v>
      </c>
      <c r="F73" s="304">
        <f>ROUND(VLOOKUP(A73,'Memorial de cálculo'!$A:$I,9,FALSE),2)</f>
        <v>25</v>
      </c>
      <c r="G73" s="211">
        <v>38.23</v>
      </c>
      <c r="H73" s="305">
        <f t="shared" si="4"/>
        <v>50.45</v>
      </c>
      <c r="I73" s="304">
        <f t="shared" si="5"/>
        <v>1261.25</v>
      </c>
    </row>
    <row r="74" s="127" customFormat="1" ht="31.5" spans="1:9">
      <c r="A74" s="302" t="s">
        <v>188</v>
      </c>
      <c r="B74" s="302" t="s">
        <v>4</v>
      </c>
      <c r="C74" s="302">
        <v>180202</v>
      </c>
      <c r="D74" s="303" t="s">
        <v>189</v>
      </c>
      <c r="E74" s="211" t="s">
        <v>59</v>
      </c>
      <c r="F74" s="304">
        <f>ROUND(VLOOKUP(A74,'Memorial de cálculo'!$A:$I,9,FALSE),2)</f>
        <v>1</v>
      </c>
      <c r="G74" s="211">
        <v>44.93</v>
      </c>
      <c r="H74" s="305">
        <f t="shared" si="4"/>
        <v>59.29</v>
      </c>
      <c r="I74" s="304">
        <f t="shared" si="5"/>
        <v>59.29</v>
      </c>
    </row>
    <row r="75" s="127" customFormat="1" ht="15.75" spans="1:9">
      <c r="A75" s="302" t="s">
        <v>190</v>
      </c>
      <c r="B75" s="302" t="s">
        <v>4</v>
      </c>
      <c r="C75" s="302">
        <v>180204</v>
      </c>
      <c r="D75" s="303" t="s">
        <v>191</v>
      </c>
      <c r="E75" s="211" t="s">
        <v>59</v>
      </c>
      <c r="F75" s="304">
        <f>ROUND(VLOOKUP(A75,'Memorial de cálculo'!$A:$I,9,FALSE),2)</f>
        <v>7</v>
      </c>
      <c r="G75" s="211">
        <v>33.87</v>
      </c>
      <c r="H75" s="305">
        <f t="shared" si="4"/>
        <v>44.69</v>
      </c>
      <c r="I75" s="304">
        <f t="shared" si="5"/>
        <v>312.83</v>
      </c>
    </row>
    <row r="76" s="127" customFormat="1" ht="15.75" spans="1:9">
      <c r="A76" s="302" t="s">
        <v>192</v>
      </c>
      <c r="B76" s="302" t="s">
        <v>4</v>
      </c>
      <c r="C76" s="302">
        <v>180205</v>
      </c>
      <c r="D76" s="303" t="s">
        <v>193</v>
      </c>
      <c r="E76" s="211" t="s">
        <v>59</v>
      </c>
      <c r="F76" s="304">
        <f>ROUND(VLOOKUP(A76,'Memorial de cálculo'!$A:$I,9,FALSE),2)</f>
        <v>6</v>
      </c>
      <c r="G76" s="211">
        <v>57.76</v>
      </c>
      <c r="H76" s="305">
        <f t="shared" si="4"/>
        <v>76.22</v>
      </c>
      <c r="I76" s="304">
        <f t="shared" si="5"/>
        <v>457.32</v>
      </c>
    </row>
    <row r="77" s="127" customFormat="1" ht="15.75" spans="1:9">
      <c r="A77" s="302" t="s">
        <v>194</v>
      </c>
      <c r="B77" s="302" t="s">
        <v>4</v>
      </c>
      <c r="C77" s="302">
        <v>180217</v>
      </c>
      <c r="D77" s="303" t="s">
        <v>195</v>
      </c>
      <c r="E77" s="211" t="s">
        <v>59</v>
      </c>
      <c r="F77" s="304">
        <f>ROUND(VLOOKUP(A77,'Memorial de cálculo'!$A:$I,9,FALSE),2)</f>
        <v>2</v>
      </c>
      <c r="G77" s="211">
        <v>8.21</v>
      </c>
      <c r="H77" s="305">
        <f t="shared" si="4"/>
        <v>10.83</v>
      </c>
      <c r="I77" s="304">
        <f t="shared" si="5"/>
        <v>21.66</v>
      </c>
    </row>
    <row r="78" s="127" customFormat="1" ht="47.25" spans="1:9">
      <c r="A78" s="302" t="s">
        <v>196</v>
      </c>
      <c r="B78" s="302" t="s">
        <v>4</v>
      </c>
      <c r="C78" s="302">
        <v>180702</v>
      </c>
      <c r="D78" s="303" t="s">
        <v>197</v>
      </c>
      <c r="E78" s="211" t="s">
        <v>59</v>
      </c>
      <c r="F78" s="304">
        <f>ROUND(VLOOKUP(A78,'Memorial de cálculo'!$A:$I,9,FALSE),2)</f>
        <v>6</v>
      </c>
      <c r="G78" s="211">
        <v>284.03</v>
      </c>
      <c r="H78" s="305">
        <f t="shared" si="4"/>
        <v>374.81</v>
      </c>
      <c r="I78" s="304">
        <f t="shared" si="5"/>
        <v>2248.86</v>
      </c>
    </row>
    <row r="79" s="127" customFormat="1" ht="31.5" spans="1:9">
      <c r="A79" s="302" t="s">
        <v>198</v>
      </c>
      <c r="B79" s="302" t="s">
        <v>4</v>
      </c>
      <c r="C79" s="302">
        <v>151801</v>
      </c>
      <c r="D79" s="313" t="s">
        <v>199</v>
      </c>
      <c r="E79" s="211" t="s">
        <v>59</v>
      </c>
      <c r="F79" s="304">
        <f>ROUND(VLOOKUP(A79,'Memorial de cálculo'!$A:$I,9,FALSE),2)</f>
        <v>4</v>
      </c>
      <c r="G79" s="211">
        <v>199.48</v>
      </c>
      <c r="H79" s="305">
        <f t="shared" si="4"/>
        <v>263.23</v>
      </c>
      <c r="I79" s="304">
        <f t="shared" si="5"/>
        <v>1052.92</v>
      </c>
    </row>
    <row r="80" s="127" customFormat="1" ht="47.25" spans="1:9">
      <c r="A80" s="302" t="s">
        <v>200</v>
      </c>
      <c r="B80" s="302" t="s">
        <v>4</v>
      </c>
      <c r="C80" s="302">
        <v>151803</v>
      </c>
      <c r="D80" s="313" t="s">
        <v>201</v>
      </c>
      <c r="E80" s="211" t="s">
        <v>59</v>
      </c>
      <c r="F80" s="304">
        <f>ROUND(VLOOKUP(A80,'Memorial de cálculo'!$A:$I,9,FALSE),2)</f>
        <v>13</v>
      </c>
      <c r="G80" s="211">
        <v>203.28</v>
      </c>
      <c r="H80" s="305">
        <f t="shared" si="4"/>
        <v>268.25</v>
      </c>
      <c r="I80" s="304">
        <f t="shared" si="5"/>
        <v>3487.25</v>
      </c>
    </row>
    <row r="81" s="127" customFormat="1" ht="47.25" spans="1:9">
      <c r="A81" s="302" t="s">
        <v>202</v>
      </c>
      <c r="B81" s="302" t="s">
        <v>4</v>
      </c>
      <c r="C81" s="302">
        <v>151805</v>
      </c>
      <c r="D81" s="313" t="s">
        <v>203</v>
      </c>
      <c r="E81" s="211" t="s">
        <v>59</v>
      </c>
      <c r="F81" s="304">
        <f>ROUND(VLOOKUP(A81,'Memorial de cálculo'!$A:$I,9,FALSE),2)</f>
        <v>1</v>
      </c>
      <c r="G81" s="211">
        <v>544.7</v>
      </c>
      <c r="H81" s="305">
        <f t="shared" si="4"/>
        <v>718.79</v>
      </c>
      <c r="I81" s="304">
        <f t="shared" si="5"/>
        <v>718.79</v>
      </c>
    </row>
    <row r="82" s="127" customFormat="1" ht="31.5" spans="1:9">
      <c r="A82" s="302" t="s">
        <v>204</v>
      </c>
      <c r="B82" s="302" t="s">
        <v>4</v>
      </c>
      <c r="C82" s="302">
        <v>150312</v>
      </c>
      <c r="D82" s="313" t="s">
        <v>205</v>
      </c>
      <c r="E82" s="211" t="s">
        <v>59</v>
      </c>
      <c r="F82" s="304">
        <f>ROUND(VLOOKUP(A82,'Memorial de cálculo'!$A:$I,9,FALSE),2)</f>
        <v>1</v>
      </c>
      <c r="G82" s="211">
        <v>98.09</v>
      </c>
      <c r="H82" s="305">
        <f t="shared" si="4"/>
        <v>129.44</v>
      </c>
      <c r="I82" s="304">
        <f t="shared" si="5"/>
        <v>129.44</v>
      </c>
    </row>
    <row r="83" s="127" customFormat="1" ht="15.75" spans="1:9">
      <c r="A83" s="302" t="s">
        <v>206</v>
      </c>
      <c r="B83" s="302" t="s">
        <v>4</v>
      </c>
      <c r="C83" s="302">
        <v>151406</v>
      </c>
      <c r="D83" s="303" t="s">
        <v>207</v>
      </c>
      <c r="E83" s="211" t="s">
        <v>32</v>
      </c>
      <c r="F83" s="304">
        <f>ROUND(VLOOKUP(A83,'Memorial de cálculo'!$A:$I,9,FALSE),2)</f>
        <v>120</v>
      </c>
      <c r="G83" s="211">
        <v>25.61</v>
      </c>
      <c r="H83" s="305">
        <f t="shared" si="4"/>
        <v>33.79</v>
      </c>
      <c r="I83" s="304">
        <f t="shared" si="5"/>
        <v>4054.8</v>
      </c>
    </row>
    <row r="84" s="127" customFormat="1" ht="31.5" spans="1:9">
      <c r="A84" s="302" t="s">
        <v>208</v>
      </c>
      <c r="B84" s="302" t="s">
        <v>4</v>
      </c>
      <c r="C84" s="302">
        <v>151322</v>
      </c>
      <c r="D84" s="313" t="s">
        <v>209</v>
      </c>
      <c r="E84" s="211" t="s">
        <v>59</v>
      </c>
      <c r="F84" s="304">
        <f>ROUND(VLOOKUP(A84,'Memorial de cálculo'!$A:$I,9,FALSE),2)</f>
        <v>1</v>
      </c>
      <c r="G84" s="211">
        <v>58.12</v>
      </c>
      <c r="H84" s="305">
        <f t="shared" si="4"/>
        <v>76.7</v>
      </c>
      <c r="I84" s="304">
        <f t="shared" si="5"/>
        <v>76.7</v>
      </c>
    </row>
    <row r="85" s="127" customFormat="1" ht="31.5" spans="1:9">
      <c r="A85" s="302" t="s">
        <v>210</v>
      </c>
      <c r="B85" s="302" t="s">
        <v>4</v>
      </c>
      <c r="C85" s="302">
        <v>151323</v>
      </c>
      <c r="D85" s="313" t="s">
        <v>211</v>
      </c>
      <c r="E85" s="211" t="s">
        <v>59</v>
      </c>
      <c r="F85" s="304">
        <f>ROUND(VLOOKUP(A85,'Memorial de cálculo'!$A:$I,9,FALSE),2)</f>
        <v>1</v>
      </c>
      <c r="G85" s="211">
        <v>69.47</v>
      </c>
      <c r="H85" s="305">
        <f t="shared" si="4"/>
        <v>91.67</v>
      </c>
      <c r="I85" s="304">
        <f t="shared" si="5"/>
        <v>91.67</v>
      </c>
    </row>
    <row r="86" ht="15.75" spans="1:9">
      <c r="A86" s="307" t="s">
        <v>212</v>
      </c>
      <c r="B86" s="308"/>
      <c r="C86" s="308"/>
      <c r="D86" s="300" t="s">
        <v>213</v>
      </c>
      <c r="E86" s="308"/>
      <c r="F86" s="308"/>
      <c r="G86" s="308"/>
      <c r="H86" s="308"/>
      <c r="I86" s="323"/>
    </row>
    <row r="87" ht="31.5" spans="1:9">
      <c r="A87" s="302" t="s">
        <v>214</v>
      </c>
      <c r="B87" s="302" t="s">
        <v>4</v>
      </c>
      <c r="C87" s="302">
        <v>190106</v>
      </c>
      <c r="D87" s="303" t="s">
        <v>215</v>
      </c>
      <c r="E87" s="211" t="s">
        <v>28</v>
      </c>
      <c r="F87" s="304">
        <f>ROUND(VLOOKUP(A87,'Memorial de cálculo'!$A:$I,9,FALSE),2)</f>
        <v>34.46</v>
      </c>
      <c r="G87" s="211">
        <v>21.09</v>
      </c>
      <c r="H87" s="305">
        <f t="shared" si="4"/>
        <v>27.83</v>
      </c>
      <c r="I87" s="304">
        <f>ROUND(H87*F87,2)</f>
        <v>959.02</v>
      </c>
    </row>
    <row r="88" ht="31.5" spans="1:9">
      <c r="A88" s="302" t="s">
        <v>216</v>
      </c>
      <c r="B88" s="302" t="s">
        <v>4</v>
      </c>
      <c r="C88" s="302">
        <v>190117</v>
      </c>
      <c r="D88" s="303" t="s">
        <v>217</v>
      </c>
      <c r="E88" s="211" t="s">
        <v>28</v>
      </c>
      <c r="F88" s="304">
        <f>ROUND(VLOOKUP(A88,'Memorial de cálculo'!$A:$I,9,FALSE),2)</f>
        <v>658.55</v>
      </c>
      <c r="G88" s="211">
        <v>17.13</v>
      </c>
      <c r="H88" s="305">
        <f t="shared" si="4"/>
        <v>22.6</v>
      </c>
      <c r="I88" s="304">
        <f>ROUND(H88*F88,2)</f>
        <v>14883.23</v>
      </c>
    </row>
    <row r="89" s="127" customFormat="1" ht="31.5" spans="1:9">
      <c r="A89" s="302" t="s">
        <v>218</v>
      </c>
      <c r="B89" s="302" t="s">
        <v>4</v>
      </c>
      <c r="C89" s="302">
        <v>190417</v>
      </c>
      <c r="D89" s="303" t="s">
        <v>219</v>
      </c>
      <c r="E89" s="211" t="s">
        <v>28</v>
      </c>
      <c r="F89" s="304">
        <f>ROUND(VLOOKUP(A89,'Memorial de cálculo'!$A:$I,9,FALSE),2)</f>
        <v>181.1</v>
      </c>
      <c r="G89" s="211">
        <v>20.01</v>
      </c>
      <c r="H89" s="305">
        <f t="shared" si="4"/>
        <v>26.41</v>
      </c>
      <c r="I89" s="304">
        <f>ROUND(H89*F89,2)</f>
        <v>4782.85</v>
      </c>
    </row>
    <row r="90" s="127" customFormat="1" ht="31.5" spans="1:9">
      <c r="A90" s="302" t="s">
        <v>220</v>
      </c>
      <c r="B90" s="302" t="s">
        <v>4</v>
      </c>
      <c r="C90" s="302">
        <v>190302</v>
      </c>
      <c r="D90" s="313" t="s">
        <v>221</v>
      </c>
      <c r="E90" s="211" t="s">
        <v>28</v>
      </c>
      <c r="F90" s="304">
        <f>ROUND(VLOOKUP(A90,'Memorial de cálculo'!$A:$I,9,FALSE),2)</f>
        <v>81.27</v>
      </c>
      <c r="G90" s="211">
        <v>22.64</v>
      </c>
      <c r="H90" s="305">
        <f t="shared" si="4"/>
        <v>29.88</v>
      </c>
      <c r="I90" s="304">
        <f>ROUND(H90*F90,2)</f>
        <v>2428.35</v>
      </c>
    </row>
    <row r="91" ht="15.75" spans="1:9">
      <c r="A91" s="307" t="s">
        <v>222</v>
      </c>
      <c r="B91" s="308"/>
      <c r="C91" s="308"/>
      <c r="D91" s="300" t="s">
        <v>223</v>
      </c>
      <c r="E91" s="308"/>
      <c r="F91" s="308"/>
      <c r="G91" s="308"/>
      <c r="H91" s="308"/>
      <c r="I91" s="323"/>
    </row>
    <row r="92" customFormat="1" ht="15.75" spans="1:9">
      <c r="A92" s="307" t="s">
        <v>224</v>
      </c>
      <c r="B92" s="308"/>
      <c r="C92" s="308"/>
      <c r="D92" s="300" t="s">
        <v>225</v>
      </c>
      <c r="E92" s="308"/>
      <c r="F92" s="308"/>
      <c r="G92" s="308"/>
      <c r="H92" s="308"/>
      <c r="I92" s="323"/>
    </row>
    <row r="93" s="127" customFormat="1" ht="15.75" spans="1:9">
      <c r="A93" s="302" t="s">
        <v>226</v>
      </c>
      <c r="B93" s="302" t="s">
        <v>4</v>
      </c>
      <c r="C93" s="331" t="s">
        <v>227</v>
      </c>
      <c r="D93" s="303" t="s">
        <v>228</v>
      </c>
      <c r="E93" s="211" t="s">
        <v>72</v>
      </c>
      <c r="F93" s="304">
        <f>ROUND(VLOOKUP(A93,'Memorial de cálculo'!$A:$I,9,FALSE),2)</f>
        <v>5.41</v>
      </c>
      <c r="G93" s="211">
        <v>46.09</v>
      </c>
      <c r="H93" s="305">
        <f t="shared" ref="H93:H99" si="6">ROUND(G93*(1+$I$7),2)</f>
        <v>60.82</v>
      </c>
      <c r="I93" s="304">
        <f>ROUND(H93*F93,2)</f>
        <v>329.04</v>
      </c>
    </row>
    <row r="94" s="127" customFormat="1" ht="15.75" spans="1:9">
      <c r="A94" s="302" t="s">
        <v>229</v>
      </c>
      <c r="B94" s="302" t="s">
        <v>4</v>
      </c>
      <c r="C94" s="331" t="s">
        <v>230</v>
      </c>
      <c r="D94" s="303" t="s">
        <v>231</v>
      </c>
      <c r="E94" s="211" t="s">
        <v>72</v>
      </c>
      <c r="F94" s="304">
        <f>ROUND(VLOOKUP(A94,'Memorial de cálculo'!$A:$I,9,FALSE),2)</f>
        <v>3.74</v>
      </c>
      <c r="G94" s="211">
        <v>49.63</v>
      </c>
      <c r="H94" s="305">
        <f t="shared" si="6"/>
        <v>65.49</v>
      </c>
      <c r="I94" s="304">
        <f t="shared" ref="I94:I99" si="7">ROUND(H94*F94,2)</f>
        <v>244.93</v>
      </c>
    </row>
    <row r="95" s="127" customFormat="1" ht="31.5" spans="1:9">
      <c r="A95" s="302" t="s">
        <v>232</v>
      </c>
      <c r="B95" s="302" t="s">
        <v>4</v>
      </c>
      <c r="C95" s="331" t="s">
        <v>233</v>
      </c>
      <c r="D95" s="303" t="s">
        <v>234</v>
      </c>
      <c r="E95" s="211" t="s">
        <v>28</v>
      </c>
      <c r="F95" s="304">
        <f>ROUND(VLOOKUP(A95,'Memorial de cálculo'!$A:$I,9,FALSE),2)</f>
        <v>1.8</v>
      </c>
      <c r="G95" s="211">
        <v>73.25</v>
      </c>
      <c r="H95" s="305">
        <f t="shared" si="6"/>
        <v>96.66</v>
      </c>
      <c r="I95" s="304">
        <f t="shared" si="7"/>
        <v>173.99</v>
      </c>
    </row>
    <row r="96" s="127" customFormat="1" ht="31.5" spans="1:9">
      <c r="A96" s="302" t="s">
        <v>235</v>
      </c>
      <c r="B96" s="302" t="s">
        <v>4</v>
      </c>
      <c r="C96" s="331" t="s">
        <v>236</v>
      </c>
      <c r="D96" s="303" t="s">
        <v>237</v>
      </c>
      <c r="E96" s="211" t="s">
        <v>72</v>
      </c>
      <c r="F96" s="304">
        <f>ROUND(VLOOKUP(A96,'Memorial de cálculo'!$A:$I,9,FALSE),2)</f>
        <v>0.2</v>
      </c>
      <c r="G96" s="211">
        <v>552.53</v>
      </c>
      <c r="H96" s="305">
        <f t="shared" si="6"/>
        <v>729.12</v>
      </c>
      <c r="I96" s="304">
        <f t="shared" si="7"/>
        <v>145.82</v>
      </c>
    </row>
    <row r="97" s="127" customFormat="1" ht="31.5" spans="1:9">
      <c r="A97" s="302" t="s">
        <v>238</v>
      </c>
      <c r="B97" s="302" t="s">
        <v>4</v>
      </c>
      <c r="C97" s="331" t="s">
        <v>239</v>
      </c>
      <c r="D97" s="303" t="s">
        <v>240</v>
      </c>
      <c r="E97" s="211" t="s">
        <v>72</v>
      </c>
      <c r="F97" s="304">
        <f>ROUND(VLOOKUP(A97,'Memorial de cálculo'!$A:$I,9,FALSE),2)</f>
        <v>0.42</v>
      </c>
      <c r="G97" s="211">
        <v>606.94</v>
      </c>
      <c r="H97" s="305">
        <f t="shared" si="6"/>
        <v>800.92</v>
      </c>
      <c r="I97" s="304">
        <f t="shared" si="7"/>
        <v>336.39</v>
      </c>
    </row>
    <row r="98" s="127" customFormat="1" ht="31.5" spans="1:9">
      <c r="A98" s="302" t="s">
        <v>241</v>
      </c>
      <c r="B98" s="302" t="s">
        <v>4</v>
      </c>
      <c r="C98" s="331" t="s">
        <v>242</v>
      </c>
      <c r="D98" s="303" t="s">
        <v>243</v>
      </c>
      <c r="E98" s="211" t="s">
        <v>244</v>
      </c>
      <c r="F98" s="304">
        <f>ROUND(VLOOKUP(A98,'Memorial de cálculo'!$A:$I,9,FALSE),2)</f>
        <v>26.16</v>
      </c>
      <c r="G98" s="211">
        <v>10.72</v>
      </c>
      <c r="H98" s="305">
        <f t="shared" si="6"/>
        <v>14.15</v>
      </c>
      <c r="I98" s="304">
        <f t="shared" si="7"/>
        <v>370.16</v>
      </c>
    </row>
    <row r="99" s="127" customFormat="1" ht="31.5" spans="1:9">
      <c r="A99" s="302" t="s">
        <v>245</v>
      </c>
      <c r="B99" s="302" t="s">
        <v>4</v>
      </c>
      <c r="C99" s="312" t="s">
        <v>246</v>
      </c>
      <c r="D99" s="313" t="s">
        <v>247</v>
      </c>
      <c r="E99" s="211" t="s">
        <v>244</v>
      </c>
      <c r="F99" s="304">
        <f>ROUND(VLOOKUP(A99,'Memorial de cálculo'!$A:$I,9,FALSE),2)</f>
        <v>3.12</v>
      </c>
      <c r="G99" s="211">
        <v>12.34</v>
      </c>
      <c r="H99" s="305">
        <f t="shared" si="6"/>
        <v>16.28</v>
      </c>
      <c r="I99" s="304">
        <f t="shared" si="7"/>
        <v>50.79</v>
      </c>
    </row>
    <row r="100" customFormat="1" ht="15.75" spans="1:9">
      <c r="A100" s="307" t="s">
        <v>248</v>
      </c>
      <c r="B100" s="308"/>
      <c r="C100" s="308"/>
      <c r="D100" s="300" t="s">
        <v>249</v>
      </c>
      <c r="E100" s="308"/>
      <c r="F100" s="308"/>
      <c r="G100" s="308"/>
      <c r="H100" s="308"/>
      <c r="I100" s="323"/>
    </row>
    <row r="101" s="127" customFormat="1" ht="31.5" spans="1:9">
      <c r="A101" s="302" t="s">
        <v>250</v>
      </c>
      <c r="B101" s="302" t="s">
        <v>4</v>
      </c>
      <c r="C101" s="331" t="s">
        <v>251</v>
      </c>
      <c r="D101" s="303" t="s">
        <v>240</v>
      </c>
      <c r="E101" s="211" t="s">
        <v>72</v>
      </c>
      <c r="F101" s="304">
        <f>ROUND(VLOOKUP(A101,'Memorial de cálculo'!$A:$I,9,FALSE),2)</f>
        <v>0.56</v>
      </c>
      <c r="G101" s="211">
        <v>696.95</v>
      </c>
      <c r="H101" s="305">
        <f>ROUND(G101*(1+$I$7),2)</f>
        <v>919.7</v>
      </c>
      <c r="I101" s="304">
        <f>ROUND(H101*F101,2)</f>
        <v>515.03</v>
      </c>
    </row>
    <row r="102" s="127" customFormat="1" ht="31.5" spans="1:9">
      <c r="A102" s="302" t="s">
        <v>252</v>
      </c>
      <c r="B102" s="302" t="s">
        <v>4</v>
      </c>
      <c r="C102" s="331" t="s">
        <v>253</v>
      </c>
      <c r="D102" s="303" t="s">
        <v>243</v>
      </c>
      <c r="E102" s="211" t="s">
        <v>244</v>
      </c>
      <c r="F102" s="304">
        <f>ROUND(VLOOKUP(A102,'Memorial de cálculo'!$A:$I,9,FALSE),2)</f>
        <v>28.6</v>
      </c>
      <c r="G102" s="211">
        <v>10.72</v>
      </c>
      <c r="H102" s="305">
        <f>ROUND(G102*(1+$I$7),2)</f>
        <v>14.15</v>
      </c>
      <c r="I102" s="304">
        <f>ROUND(H102*F102,2)</f>
        <v>404.69</v>
      </c>
    </row>
    <row r="103" s="127" customFormat="1" ht="47.25" spans="1:9">
      <c r="A103" s="302" t="s">
        <v>254</v>
      </c>
      <c r="B103" s="302" t="s">
        <v>4</v>
      </c>
      <c r="C103" s="331" t="s">
        <v>255</v>
      </c>
      <c r="D103" s="303" t="s">
        <v>256</v>
      </c>
      <c r="E103" s="211" t="s">
        <v>28</v>
      </c>
      <c r="F103" s="304">
        <f>ROUND(VLOOKUP(A103,'Memorial de cálculo'!$A:$I,9,FALSE),2)</f>
        <v>8.1</v>
      </c>
      <c r="G103" s="211">
        <v>124.84</v>
      </c>
      <c r="H103" s="305">
        <f>ROUND(G103*(1+$I$7),2)</f>
        <v>164.74</v>
      </c>
      <c r="I103" s="304">
        <f>ROUND(H103*F103,2)</f>
        <v>1334.39</v>
      </c>
    </row>
    <row r="104" s="127" customFormat="1" ht="31.5" spans="1:9">
      <c r="A104" s="302" t="s">
        <v>257</v>
      </c>
      <c r="B104" s="302" t="s">
        <v>4</v>
      </c>
      <c r="C104" s="331" t="s">
        <v>258</v>
      </c>
      <c r="D104" s="313" t="s">
        <v>247</v>
      </c>
      <c r="E104" s="211" t="s">
        <v>244</v>
      </c>
      <c r="F104" s="304">
        <f>ROUND(VLOOKUP(A104,'Memorial de cálculo'!$A:$I,9,FALSE),2)</f>
        <v>12.38</v>
      </c>
      <c r="G104" s="211">
        <v>12.34</v>
      </c>
      <c r="H104" s="305">
        <f>ROUND(G104*(1+$I$7),2)</f>
        <v>16.28</v>
      </c>
      <c r="I104" s="304">
        <f>ROUND(H104*F104,2)</f>
        <v>201.55</v>
      </c>
    </row>
    <row r="105" customFormat="1" ht="15.75" spans="1:9">
      <c r="A105" s="307" t="s">
        <v>259</v>
      </c>
      <c r="B105" s="308"/>
      <c r="C105" s="308"/>
      <c r="D105" s="300" t="s">
        <v>260</v>
      </c>
      <c r="E105" s="308"/>
      <c r="F105" s="308"/>
      <c r="G105" s="308"/>
      <c r="H105" s="308"/>
      <c r="I105" s="323"/>
    </row>
    <row r="106" ht="47.25" spans="1:9">
      <c r="A106" s="302" t="s">
        <v>261</v>
      </c>
      <c r="B106" s="302" t="s">
        <v>4</v>
      </c>
      <c r="C106" s="331" t="s">
        <v>262</v>
      </c>
      <c r="D106" s="303" t="s">
        <v>263</v>
      </c>
      <c r="E106" s="211" t="s">
        <v>28</v>
      </c>
      <c r="F106" s="304">
        <f>ROUND(VLOOKUP(A106,'Memorial de cálculo'!$A:$I,9,FALSE),2)</f>
        <v>58.05</v>
      </c>
      <c r="G106" s="211">
        <v>475.27</v>
      </c>
      <c r="H106" s="305">
        <f>ROUND(G106*(1+$I$7),2)</f>
        <v>627.17</v>
      </c>
      <c r="I106" s="304">
        <f>ROUND(H106*F106,2)</f>
        <v>36407.22</v>
      </c>
    </row>
    <row r="107" ht="31.5" spans="1:9">
      <c r="A107" s="302" t="s">
        <v>264</v>
      </c>
      <c r="B107" s="302" t="s">
        <v>4</v>
      </c>
      <c r="C107" s="331" t="s">
        <v>265</v>
      </c>
      <c r="D107" s="303" t="s">
        <v>266</v>
      </c>
      <c r="E107" s="211" t="s">
        <v>28</v>
      </c>
      <c r="F107" s="304">
        <f>ROUND(VLOOKUP(A107,'Memorial de cálculo'!$A:$I,9,FALSE),2)</f>
        <v>58.05</v>
      </c>
      <c r="G107" s="211">
        <v>115.99</v>
      </c>
      <c r="H107" s="305">
        <f>ROUND(G107*(1+$I$7),2)</f>
        <v>153.06</v>
      </c>
      <c r="I107" s="304">
        <f>ROUND(H107*F107,2)</f>
        <v>8885.13</v>
      </c>
    </row>
    <row r="108" ht="15.75" spans="1:9">
      <c r="A108" s="302" t="s">
        <v>267</v>
      </c>
      <c r="B108" s="302" t="s">
        <v>4</v>
      </c>
      <c r="C108" s="331" t="s">
        <v>268</v>
      </c>
      <c r="D108" s="303" t="s">
        <v>269</v>
      </c>
      <c r="E108" s="211" t="s">
        <v>32</v>
      </c>
      <c r="F108" s="304">
        <f>ROUND(VLOOKUP(A108,'Memorial de cálculo'!$A:$I,9,FALSE),2)</f>
        <v>28</v>
      </c>
      <c r="G108" s="211">
        <v>41.05</v>
      </c>
      <c r="H108" s="305">
        <f>ROUND(G108*(1+$I$7),2)</f>
        <v>54.17</v>
      </c>
      <c r="I108" s="304">
        <f>ROUND(H108*F108,2)</f>
        <v>1516.76</v>
      </c>
    </row>
    <row r="109" customFormat="1" ht="15.75" spans="1:9">
      <c r="A109" s="307" t="s">
        <v>270</v>
      </c>
      <c r="B109" s="308"/>
      <c r="C109" s="308"/>
      <c r="D109" s="300" t="s">
        <v>271</v>
      </c>
      <c r="E109" s="308"/>
      <c r="F109" s="308"/>
      <c r="G109" s="308"/>
      <c r="H109" s="308"/>
      <c r="I109" s="323"/>
    </row>
    <row r="110" customFormat="1" ht="15.75" spans="1:9">
      <c r="A110" s="302" t="s">
        <v>272</v>
      </c>
      <c r="B110" s="302" t="s">
        <v>4</v>
      </c>
      <c r="C110" s="302">
        <v>110210</v>
      </c>
      <c r="D110" s="303" t="s">
        <v>273</v>
      </c>
      <c r="E110" s="211" t="s">
        <v>28</v>
      </c>
      <c r="F110" s="304">
        <f>ROUND(VLOOKUP(A110,'Memorial de cálculo'!$A:$I,9,FALSE),2)</f>
        <v>72.02</v>
      </c>
      <c r="G110" s="211">
        <v>91.18</v>
      </c>
      <c r="H110" s="305">
        <f>ROUND(G110*(1+$I$7),2)</f>
        <v>120.32</v>
      </c>
      <c r="I110" s="304">
        <f>ROUND(H110*F110,2)</f>
        <v>8665.45</v>
      </c>
    </row>
    <row r="111" customFormat="1" ht="15.75" spans="1:9">
      <c r="A111" s="307" t="s">
        <v>274</v>
      </c>
      <c r="B111" s="308"/>
      <c r="C111" s="308"/>
      <c r="D111" s="300" t="s">
        <v>275</v>
      </c>
      <c r="E111" s="308"/>
      <c r="F111" s="308"/>
      <c r="G111" s="308"/>
      <c r="H111" s="308"/>
      <c r="I111" s="323"/>
    </row>
    <row r="112" ht="47.25" spans="1:9">
      <c r="A112" s="302" t="s">
        <v>276</v>
      </c>
      <c r="B112" s="302" t="s">
        <v>4</v>
      </c>
      <c r="C112" s="302">
        <v>200120</v>
      </c>
      <c r="D112" s="303" t="s">
        <v>277</v>
      </c>
      <c r="E112" s="211" t="s">
        <v>32</v>
      </c>
      <c r="F112" s="304">
        <f>ROUND(VLOOKUP(A112,'Memorial de cálculo'!$A:$I,9,FALSE),2)</f>
        <v>7</v>
      </c>
      <c r="G112" s="211">
        <v>246.56</v>
      </c>
      <c r="H112" s="305">
        <f>ROUND(G112*(1+$I$7),2)</f>
        <v>325.36</v>
      </c>
      <c r="I112" s="304">
        <f>ROUND(H112*F112,2)</f>
        <v>2277.52</v>
      </c>
    </row>
    <row r="113" s="126" customFormat="1" ht="31.5" spans="1:9">
      <c r="A113" s="302" t="s">
        <v>278</v>
      </c>
      <c r="B113" s="302" t="s">
        <v>4</v>
      </c>
      <c r="C113" s="302">
        <v>200209</v>
      </c>
      <c r="D113" s="303" t="s">
        <v>279</v>
      </c>
      <c r="E113" s="259" t="s">
        <v>28</v>
      </c>
      <c r="F113" s="304">
        <f>ROUND(VLOOKUP(A113,'Memorial de cálculo'!$A:$I,9,FALSE),2)</f>
        <v>24</v>
      </c>
      <c r="G113" s="259">
        <v>135.25</v>
      </c>
      <c r="H113" s="305">
        <f>ROUND(G113*(1+$I$7),2)</f>
        <v>178.48</v>
      </c>
      <c r="I113" s="304">
        <f>ROUND(H113*F113,2)</f>
        <v>4283.52</v>
      </c>
    </row>
    <row r="114" s="126" customFormat="1" ht="31.5" spans="1:9">
      <c r="A114" s="302" t="s">
        <v>280</v>
      </c>
      <c r="B114" s="302" t="s">
        <v>4</v>
      </c>
      <c r="C114" s="302">
        <v>200576</v>
      </c>
      <c r="D114" s="303" t="s">
        <v>281</v>
      </c>
      <c r="E114" s="259" t="s">
        <v>59</v>
      </c>
      <c r="F114" s="304">
        <f>ROUND(VLOOKUP(A114,'Memorial de cálculo'!$A:$I,9,FALSE),2)</f>
        <v>1</v>
      </c>
      <c r="G114" s="259">
        <v>768.53</v>
      </c>
      <c r="H114" s="305">
        <f>ROUND(G114*(1+$I$7),2)</f>
        <v>1014.15</v>
      </c>
      <c r="I114" s="304">
        <f>ROUND(H114*F114,2)</f>
        <v>1014.15</v>
      </c>
    </row>
    <row r="115" s="126" customFormat="1" ht="31.5" spans="1:9">
      <c r="A115" s="302" t="s">
        <v>282</v>
      </c>
      <c r="B115" s="302" t="s">
        <v>283</v>
      </c>
      <c r="C115" s="302" t="s">
        <v>284</v>
      </c>
      <c r="D115" s="313" t="s">
        <v>285</v>
      </c>
      <c r="E115" s="259" t="s">
        <v>59</v>
      </c>
      <c r="F115" s="304">
        <f>ROUND(VLOOKUP(A115,'Memorial de cálculo'!$A:$I,9,FALSE),2)</f>
        <v>1</v>
      </c>
      <c r="G115" s="324">
        <v>985</v>
      </c>
      <c r="H115" s="305">
        <f>ROUND(G115*(1+$I$7),2)</f>
        <v>1299.81</v>
      </c>
      <c r="I115" s="304">
        <f>ROUND(H115*F115,2)</f>
        <v>1299.81</v>
      </c>
    </row>
    <row r="116" customFormat="1" ht="15.75" spans="1:9">
      <c r="A116" s="307" t="s">
        <v>286</v>
      </c>
      <c r="B116" s="308"/>
      <c r="C116" s="308"/>
      <c r="D116" s="300" t="s">
        <v>287</v>
      </c>
      <c r="E116" s="308"/>
      <c r="F116" s="308"/>
      <c r="G116" s="308"/>
      <c r="H116" s="308"/>
      <c r="I116" s="323"/>
    </row>
    <row r="117" s="127" customFormat="1" ht="15.75" spans="1:9">
      <c r="A117" s="302" t="s">
        <v>288</v>
      </c>
      <c r="B117" s="302" t="s">
        <v>4</v>
      </c>
      <c r="C117" s="302">
        <v>200401</v>
      </c>
      <c r="D117" s="303" t="s">
        <v>289</v>
      </c>
      <c r="E117" s="259" t="s">
        <v>28</v>
      </c>
      <c r="F117" s="304">
        <f>ROUND(VLOOKUP(A117,'Memorial de cálculo'!$A:$I,9,FALSE),2)</f>
        <v>327.73</v>
      </c>
      <c r="G117" s="259">
        <v>9.93</v>
      </c>
      <c r="H117" s="305">
        <f>ROUND(G117*(1+$I$7),2)</f>
        <v>13.1</v>
      </c>
      <c r="I117" s="304">
        <f>ROUND(H117*F117,2)</f>
        <v>4293.26</v>
      </c>
    </row>
    <row r="118" customFormat="1" ht="15.75" spans="1:9">
      <c r="A118" s="307" t="s">
        <v>290</v>
      </c>
      <c r="B118" s="308"/>
      <c r="C118" s="308"/>
      <c r="D118" s="300" t="s">
        <v>291</v>
      </c>
      <c r="E118" s="308"/>
      <c r="F118" s="308"/>
      <c r="G118" s="308"/>
      <c r="H118" s="308"/>
      <c r="I118" s="323"/>
    </row>
    <row r="119" s="127" customFormat="1" ht="47.25" spans="1:9">
      <c r="A119" s="302" t="s">
        <v>292</v>
      </c>
      <c r="B119" s="302" t="s">
        <v>4</v>
      </c>
      <c r="C119" s="302">
        <v>210114</v>
      </c>
      <c r="D119" s="303" t="s">
        <v>293</v>
      </c>
      <c r="E119" s="259" t="s">
        <v>59</v>
      </c>
      <c r="F119" s="304">
        <f>ROUND(VLOOKUP(A119,'Memorial de cálculo'!$A:$I,9,FALSE),2)</f>
        <v>1</v>
      </c>
      <c r="G119" s="259">
        <v>3857.26</v>
      </c>
      <c r="H119" s="305">
        <f>ROUND(G119*(1+$I$7),2)</f>
        <v>5090.04</v>
      </c>
      <c r="I119" s="304">
        <f>ROUND(H119*F119,2)</f>
        <v>5090.04</v>
      </c>
    </row>
    <row r="120" ht="15.75" spans="1:9">
      <c r="A120" s="325" t="s">
        <v>294</v>
      </c>
      <c r="B120" s="326"/>
      <c r="C120" s="326"/>
      <c r="D120" s="326"/>
      <c r="E120" s="326"/>
      <c r="F120" s="326"/>
      <c r="G120" s="326"/>
      <c r="H120" s="327"/>
      <c r="I120" s="328">
        <f>SUM(I13:I119)</f>
        <v>310102.69</v>
      </c>
    </row>
    <row r="121" ht="15.75" spans="1:9">
      <c r="A121" s="300" t="s">
        <v>295</v>
      </c>
      <c r="B121" s="301"/>
      <c r="C121" s="301"/>
      <c r="D121" s="300" t="s">
        <v>296</v>
      </c>
      <c r="E121" s="301"/>
      <c r="F121" s="301"/>
      <c r="G121" s="301"/>
      <c r="H121" s="301"/>
      <c r="I121" s="329"/>
    </row>
    <row r="122" ht="15.75" spans="1:9">
      <c r="A122" s="307" t="s">
        <v>297</v>
      </c>
      <c r="B122" s="308"/>
      <c r="C122" s="308"/>
      <c r="D122" s="300" t="s">
        <v>298</v>
      </c>
      <c r="E122" s="308"/>
      <c r="F122" s="308"/>
      <c r="G122" s="308"/>
      <c r="H122" s="308"/>
      <c r="I122" s="323"/>
    </row>
    <row r="123" customFormat="1" ht="15.75" spans="1:9">
      <c r="A123" s="302" t="s">
        <v>299</v>
      </c>
      <c r="B123" s="302" t="s">
        <v>4</v>
      </c>
      <c r="C123" s="331" t="s">
        <v>300</v>
      </c>
      <c r="D123" s="303" t="s">
        <v>301</v>
      </c>
      <c r="E123" s="211" t="s">
        <v>28</v>
      </c>
      <c r="F123" s="304">
        <f>ROUND(VLOOKUP(A123,'Memorial de cálculo'!$A:$I,9,FALSE),2)</f>
        <v>14.71</v>
      </c>
      <c r="G123" s="211">
        <v>3.55</v>
      </c>
      <c r="H123" s="305">
        <f t="shared" ref="H123:H126" si="8">ROUND(G123*(1+$I$7),2)</f>
        <v>4.68</v>
      </c>
      <c r="I123" s="304">
        <f>ROUND(H123*F123,2)</f>
        <v>68.84</v>
      </c>
    </row>
    <row r="124" customFormat="1" ht="15.75" spans="1:9">
      <c r="A124" s="302" t="s">
        <v>302</v>
      </c>
      <c r="B124" s="302" t="s">
        <v>4</v>
      </c>
      <c r="C124" s="331" t="s">
        <v>303</v>
      </c>
      <c r="D124" s="303" t="s">
        <v>304</v>
      </c>
      <c r="E124" s="211" t="s">
        <v>28</v>
      </c>
      <c r="F124" s="304">
        <f>ROUND(VLOOKUP(A124,'Memorial de cálculo'!$A:$I,9,FALSE),2)</f>
        <v>14.71</v>
      </c>
      <c r="G124" s="211">
        <v>10.27</v>
      </c>
      <c r="H124" s="305">
        <f t="shared" si="8"/>
        <v>13.55</v>
      </c>
      <c r="I124" s="304">
        <f>ROUND(H124*F124,2)</f>
        <v>199.32</v>
      </c>
    </row>
    <row r="125" ht="15.75" spans="1:9">
      <c r="A125" s="307" t="s">
        <v>305</v>
      </c>
      <c r="B125" s="308"/>
      <c r="C125" s="308"/>
      <c r="D125" s="300" t="s">
        <v>158</v>
      </c>
      <c r="E125" s="308"/>
      <c r="F125" s="308"/>
      <c r="G125" s="308"/>
      <c r="H125" s="308"/>
      <c r="I125" s="323"/>
    </row>
    <row r="126" customFormat="1" ht="15.75" spans="1:9">
      <c r="A126" s="302" t="s">
        <v>306</v>
      </c>
      <c r="B126" s="302" t="s">
        <v>4</v>
      </c>
      <c r="C126" s="331" t="s">
        <v>227</v>
      </c>
      <c r="D126" s="303" t="s">
        <v>228</v>
      </c>
      <c r="E126" s="211" t="s">
        <v>72</v>
      </c>
      <c r="F126" s="304">
        <f>ROUND(VLOOKUP(A126,'Memorial de cálculo'!$A:$I,9,FALSE),2)</f>
        <v>10.62</v>
      </c>
      <c r="G126" s="211">
        <v>46.09</v>
      </c>
      <c r="H126" s="305">
        <f t="shared" si="8"/>
        <v>60.82</v>
      </c>
      <c r="I126" s="304">
        <f t="shared" ref="I126:I128" si="9">ROUND(H126*F126,2)</f>
        <v>645.91</v>
      </c>
    </row>
    <row r="127" customFormat="1" ht="15.75" spans="1:9">
      <c r="A127" s="302" t="s">
        <v>307</v>
      </c>
      <c r="B127" s="302" t="s">
        <v>4</v>
      </c>
      <c r="C127" s="331" t="s">
        <v>230</v>
      </c>
      <c r="D127" s="303" t="s">
        <v>231</v>
      </c>
      <c r="E127" s="211" t="s">
        <v>72</v>
      </c>
      <c r="F127" s="304">
        <f>ROUND(VLOOKUP(A127,'Memorial de cálculo'!$A:$I,9,FALSE),2)</f>
        <v>9.22</v>
      </c>
      <c r="G127" s="211">
        <v>49.63</v>
      </c>
      <c r="H127" s="305">
        <f t="shared" ref="H127:H131" si="10">ROUND(G127*(1+$I$7),2)</f>
        <v>65.49</v>
      </c>
      <c r="I127" s="304">
        <f t="shared" si="9"/>
        <v>603.82</v>
      </c>
    </row>
    <row r="128" customFormat="1" ht="31.5" spans="1:9">
      <c r="A128" s="302" t="s">
        <v>308</v>
      </c>
      <c r="B128" s="302" t="s">
        <v>4</v>
      </c>
      <c r="C128" s="331" t="s">
        <v>160</v>
      </c>
      <c r="D128" s="313" t="s">
        <v>161</v>
      </c>
      <c r="E128" s="211" t="s">
        <v>72</v>
      </c>
      <c r="F128" s="304">
        <f>ROUND(VLOOKUP(A128,'Memorial de cálculo'!$A:$I,9,FALSE),2)</f>
        <v>1.05</v>
      </c>
      <c r="G128" s="211">
        <v>153.13</v>
      </c>
      <c r="H128" s="305">
        <f t="shared" si="10"/>
        <v>202.07</v>
      </c>
      <c r="I128" s="304">
        <f t="shared" si="9"/>
        <v>212.17</v>
      </c>
    </row>
    <row r="129" ht="15.75" spans="1:9">
      <c r="A129" s="307" t="s">
        <v>309</v>
      </c>
      <c r="B129" s="308"/>
      <c r="C129" s="308"/>
      <c r="D129" s="300" t="s">
        <v>310</v>
      </c>
      <c r="E129" s="308"/>
      <c r="F129" s="308"/>
      <c r="G129" s="308"/>
      <c r="H129" s="308"/>
      <c r="I129" s="323"/>
    </row>
    <row r="130" ht="15.75" spans="1:9">
      <c r="A130" s="307" t="s">
        <v>311</v>
      </c>
      <c r="B130" s="308"/>
      <c r="C130" s="308"/>
      <c r="D130" s="300" t="s">
        <v>312</v>
      </c>
      <c r="E130" s="308"/>
      <c r="F130" s="308"/>
      <c r="G130" s="308"/>
      <c r="H130" s="308"/>
      <c r="I130" s="323"/>
    </row>
    <row r="131" customFormat="1" ht="31.5" spans="1:9">
      <c r="A131" s="302" t="s">
        <v>313</v>
      </c>
      <c r="B131" s="302" t="s">
        <v>4</v>
      </c>
      <c r="C131" s="331" t="s">
        <v>236</v>
      </c>
      <c r="D131" s="303" t="s">
        <v>237</v>
      </c>
      <c r="E131" s="211" t="s">
        <v>72</v>
      </c>
      <c r="F131" s="304">
        <f>ROUND(VLOOKUP(A131,'Memorial de cálculo'!$A:$I,9,FALSE),2)</f>
        <v>0.42</v>
      </c>
      <c r="G131" s="211">
        <v>552.53</v>
      </c>
      <c r="H131" s="305">
        <f t="shared" si="10"/>
        <v>729.12</v>
      </c>
      <c r="I131" s="304">
        <f>ROUND(H131*F131,2)</f>
        <v>306.23</v>
      </c>
    </row>
    <row r="132" customFormat="1" ht="31.5" spans="1:9">
      <c r="A132" s="302" t="s">
        <v>314</v>
      </c>
      <c r="B132" s="302" t="s">
        <v>4</v>
      </c>
      <c r="C132" s="331" t="s">
        <v>239</v>
      </c>
      <c r="D132" s="303" t="s">
        <v>240</v>
      </c>
      <c r="E132" s="211" t="s">
        <v>72</v>
      </c>
      <c r="F132" s="304">
        <f>ROUND(VLOOKUP(A132,'Memorial de cálculo'!$A:$I,9,FALSE),2)</f>
        <v>1.45</v>
      </c>
      <c r="G132" s="211">
        <v>606.94</v>
      </c>
      <c r="H132" s="305">
        <f t="shared" ref="H132:H137" si="11">ROUND(G132*(1+$I$7),2)</f>
        <v>800.92</v>
      </c>
      <c r="I132" s="304">
        <f t="shared" ref="I132:I137" si="12">ROUND(H132*F132,2)</f>
        <v>1161.33</v>
      </c>
    </row>
    <row r="133" customFormat="1" ht="31.5" spans="1:9">
      <c r="A133" s="302" t="s">
        <v>315</v>
      </c>
      <c r="B133" s="302" t="s">
        <v>4</v>
      </c>
      <c r="C133" s="331" t="s">
        <v>242</v>
      </c>
      <c r="D133" s="303" t="s">
        <v>243</v>
      </c>
      <c r="E133" s="211" t="s">
        <v>244</v>
      </c>
      <c r="F133" s="304">
        <f>ROUND(VLOOKUP(A133,'Memorial de cálculo'!$A:$I,9,FALSE),2)</f>
        <v>65.71</v>
      </c>
      <c r="G133" s="211">
        <v>10.72</v>
      </c>
      <c r="H133" s="305">
        <f t="shared" si="11"/>
        <v>14.15</v>
      </c>
      <c r="I133" s="304">
        <f t="shared" si="12"/>
        <v>929.8</v>
      </c>
    </row>
    <row r="134" customFormat="1" ht="31.5" spans="1:9">
      <c r="A134" s="302" t="s">
        <v>316</v>
      </c>
      <c r="B134" s="302" t="s">
        <v>4</v>
      </c>
      <c r="C134" s="331" t="s">
        <v>246</v>
      </c>
      <c r="D134" s="303" t="s">
        <v>247</v>
      </c>
      <c r="E134" s="211" t="s">
        <v>244</v>
      </c>
      <c r="F134" s="304">
        <f>ROUND(VLOOKUP(A134,'Memorial de cálculo'!$A:$I,9,FALSE),2)</f>
        <v>11.17</v>
      </c>
      <c r="G134" s="211">
        <v>12.34</v>
      </c>
      <c r="H134" s="305">
        <f t="shared" si="11"/>
        <v>16.28</v>
      </c>
      <c r="I134" s="304">
        <f t="shared" si="12"/>
        <v>181.85</v>
      </c>
    </row>
    <row r="135" customFormat="1" ht="31.5" spans="1:9">
      <c r="A135" s="302" t="s">
        <v>317</v>
      </c>
      <c r="B135" s="302" t="s">
        <v>4</v>
      </c>
      <c r="C135" s="331" t="s">
        <v>318</v>
      </c>
      <c r="D135" s="303" t="s">
        <v>319</v>
      </c>
      <c r="E135" s="211" t="s">
        <v>28</v>
      </c>
      <c r="F135" s="304">
        <f>ROUND(VLOOKUP(A135,'Memorial de cálculo'!$A:$I,9,FALSE),2)</f>
        <v>11.96</v>
      </c>
      <c r="G135" s="211">
        <v>127.4</v>
      </c>
      <c r="H135" s="305">
        <f t="shared" si="11"/>
        <v>168.12</v>
      </c>
      <c r="I135" s="304">
        <f t="shared" si="12"/>
        <v>2010.72</v>
      </c>
    </row>
    <row r="136" ht="15.75" spans="1:9">
      <c r="A136" s="307" t="s">
        <v>320</v>
      </c>
      <c r="B136" s="308"/>
      <c r="C136" s="308"/>
      <c r="D136" s="300" t="s">
        <v>249</v>
      </c>
      <c r="E136" s="308"/>
      <c r="F136" s="308"/>
      <c r="G136" s="308"/>
      <c r="H136" s="308"/>
      <c r="I136" s="323"/>
    </row>
    <row r="137" customFormat="1" ht="31.5" spans="1:9">
      <c r="A137" s="302" t="s">
        <v>321</v>
      </c>
      <c r="B137" s="302" t="s">
        <v>4</v>
      </c>
      <c r="C137" s="331" t="s">
        <v>251</v>
      </c>
      <c r="D137" s="303" t="s">
        <v>240</v>
      </c>
      <c r="E137" s="211" t="s">
        <v>72</v>
      </c>
      <c r="F137" s="304">
        <f>ROUND(VLOOKUP(A137,'Memorial de cálculo'!$A:$I,9,FALSE),2)</f>
        <v>0.8</v>
      </c>
      <c r="G137" s="211">
        <v>696.95</v>
      </c>
      <c r="H137" s="305">
        <f t="shared" si="11"/>
        <v>919.7</v>
      </c>
      <c r="I137" s="304">
        <f t="shared" si="12"/>
        <v>735.76</v>
      </c>
    </row>
    <row r="138" customFormat="1" ht="31.5" spans="1:9">
      <c r="A138" s="302" t="s">
        <v>322</v>
      </c>
      <c r="B138" s="302" t="s">
        <v>4</v>
      </c>
      <c r="C138" s="331" t="s">
        <v>253</v>
      </c>
      <c r="D138" s="303" t="s">
        <v>243</v>
      </c>
      <c r="E138" s="211" t="s">
        <v>244</v>
      </c>
      <c r="F138" s="304">
        <f>ROUND(VLOOKUP(A138,'Memorial de cálculo'!$A:$I,9,FALSE),2)</f>
        <v>39.71</v>
      </c>
      <c r="G138" s="211">
        <v>10.72</v>
      </c>
      <c r="H138" s="305">
        <f t="shared" ref="H138:H144" si="13">ROUND(G138*(1+$I$7),2)</f>
        <v>14.15</v>
      </c>
      <c r="I138" s="304">
        <f t="shared" ref="I138:I144" si="14">ROUND(H138*F138,2)</f>
        <v>561.9</v>
      </c>
    </row>
    <row r="139" customFormat="1" ht="31.5" spans="1:9">
      <c r="A139" s="302" t="s">
        <v>323</v>
      </c>
      <c r="B139" s="302" t="s">
        <v>4</v>
      </c>
      <c r="C139" s="331" t="s">
        <v>258</v>
      </c>
      <c r="D139" s="303" t="s">
        <v>247</v>
      </c>
      <c r="E139" s="211" t="s">
        <v>244</v>
      </c>
      <c r="F139" s="304">
        <f>ROUND(VLOOKUP(A139,'Memorial de cálculo'!$A:$I,9,FALSE),2)</f>
        <v>16.29</v>
      </c>
      <c r="G139" s="211">
        <v>12.34</v>
      </c>
      <c r="H139" s="305">
        <f t="shared" si="13"/>
        <v>16.28</v>
      </c>
      <c r="I139" s="304">
        <f t="shared" si="14"/>
        <v>265.2</v>
      </c>
    </row>
    <row r="140" customFormat="1" ht="47.25" spans="1:9">
      <c r="A140" s="302" t="s">
        <v>324</v>
      </c>
      <c r="B140" s="302" t="s">
        <v>4</v>
      </c>
      <c r="C140" s="331" t="s">
        <v>255</v>
      </c>
      <c r="D140" s="303" t="s">
        <v>256</v>
      </c>
      <c r="E140" s="211" t="s">
        <v>28</v>
      </c>
      <c r="F140" s="304">
        <f>ROUND(VLOOKUP(A140,'Memorial de cálculo'!$A:$I,9,FALSE),2)</f>
        <v>15.41</v>
      </c>
      <c r="G140" s="211">
        <v>124.84</v>
      </c>
      <c r="H140" s="305">
        <f t="shared" si="13"/>
        <v>164.74</v>
      </c>
      <c r="I140" s="304">
        <f t="shared" si="14"/>
        <v>2538.64</v>
      </c>
    </row>
    <row r="141" customFormat="1" ht="31.5" spans="1:9">
      <c r="A141" s="302" t="s">
        <v>325</v>
      </c>
      <c r="B141" s="302" t="s">
        <v>4</v>
      </c>
      <c r="C141" s="331" t="s">
        <v>326</v>
      </c>
      <c r="D141" s="303" t="s">
        <v>327</v>
      </c>
      <c r="E141" s="211" t="s">
        <v>32</v>
      </c>
      <c r="F141" s="304">
        <f>ROUND(VLOOKUP(A141,'Memorial de cálculo'!$A:$I,9,FALSE),2)</f>
        <v>9.83</v>
      </c>
      <c r="G141" s="211">
        <v>73.78</v>
      </c>
      <c r="H141" s="305">
        <f t="shared" si="13"/>
        <v>97.36</v>
      </c>
      <c r="I141" s="304">
        <f t="shared" si="14"/>
        <v>957.05</v>
      </c>
    </row>
    <row r="142" ht="15.75" spans="1:9">
      <c r="A142" s="307" t="s">
        <v>328</v>
      </c>
      <c r="B142" s="308"/>
      <c r="C142" s="308"/>
      <c r="D142" s="300" t="s">
        <v>329</v>
      </c>
      <c r="E142" s="308"/>
      <c r="F142" s="308"/>
      <c r="G142" s="308"/>
      <c r="H142" s="308"/>
      <c r="I142" s="323"/>
    </row>
    <row r="143" customFormat="1" ht="31.5" spans="1:9">
      <c r="A143" s="302" t="s">
        <v>330</v>
      </c>
      <c r="B143" s="302" t="s">
        <v>4</v>
      </c>
      <c r="C143" s="331" t="s">
        <v>91</v>
      </c>
      <c r="D143" s="303" t="s">
        <v>331</v>
      </c>
      <c r="E143" s="211" t="s">
        <v>32</v>
      </c>
      <c r="F143" s="304">
        <f>ROUND(VLOOKUP(A143,'Memorial de cálculo'!$A:$I,9,FALSE),2)</f>
        <v>3.6</v>
      </c>
      <c r="G143" s="211">
        <v>8.76</v>
      </c>
      <c r="H143" s="305">
        <f t="shared" si="13"/>
        <v>11.56</v>
      </c>
      <c r="I143" s="304">
        <f t="shared" si="14"/>
        <v>41.62</v>
      </c>
    </row>
    <row r="144" customFormat="1" ht="47.25" spans="1:9">
      <c r="A144" s="302" t="s">
        <v>332</v>
      </c>
      <c r="B144" s="302" t="s">
        <v>4</v>
      </c>
      <c r="C144" s="331" t="s">
        <v>94</v>
      </c>
      <c r="D144" s="303" t="s">
        <v>333</v>
      </c>
      <c r="E144" s="211" t="s">
        <v>28</v>
      </c>
      <c r="F144" s="304">
        <f>ROUND(VLOOKUP(A144,'Memorial de cálculo'!$A:$I,9,FALSE),2)</f>
        <v>29.88</v>
      </c>
      <c r="G144" s="211">
        <v>58.85</v>
      </c>
      <c r="H144" s="305">
        <f t="shared" si="13"/>
        <v>77.66</v>
      </c>
      <c r="I144" s="304">
        <f t="shared" si="14"/>
        <v>2320.48</v>
      </c>
    </row>
    <row r="145" ht="15.75" spans="1:9">
      <c r="A145" s="307" t="s">
        <v>334</v>
      </c>
      <c r="B145" s="308"/>
      <c r="C145" s="308"/>
      <c r="D145" s="300" t="s">
        <v>123</v>
      </c>
      <c r="E145" s="308"/>
      <c r="F145" s="308"/>
      <c r="G145" s="308"/>
      <c r="H145" s="308"/>
      <c r="I145" s="323"/>
    </row>
    <row r="146" customFormat="1" ht="31.5" spans="1:9">
      <c r="A146" s="302" t="s">
        <v>335</v>
      </c>
      <c r="B146" s="302" t="s">
        <v>4</v>
      </c>
      <c r="C146" s="331" t="s">
        <v>137</v>
      </c>
      <c r="D146" s="303" t="s">
        <v>138</v>
      </c>
      <c r="E146" s="211" t="s">
        <v>28</v>
      </c>
      <c r="F146" s="304">
        <f>ROUND(VLOOKUP(A146,'Memorial de cálculo'!$A:$I,9,FALSE),2)</f>
        <v>0.5</v>
      </c>
      <c r="G146" s="211">
        <v>142.57</v>
      </c>
      <c r="H146" s="305">
        <f t="shared" ref="H146:H151" si="15">ROUND(G146*(1+$I$7),2)</f>
        <v>188.14</v>
      </c>
      <c r="I146" s="304">
        <f t="shared" ref="I146:I151" si="16">ROUND(H146*F146,2)</f>
        <v>94.07</v>
      </c>
    </row>
    <row r="147" customFormat="1" ht="15.75" spans="1:9">
      <c r="A147" s="302" t="s">
        <v>336</v>
      </c>
      <c r="B147" s="302" t="s">
        <v>4</v>
      </c>
      <c r="C147" s="331" t="s">
        <v>125</v>
      </c>
      <c r="D147" s="303" t="s">
        <v>126</v>
      </c>
      <c r="E147" s="211" t="s">
        <v>28</v>
      </c>
      <c r="F147" s="304">
        <f>ROUND(VLOOKUP(A147,'Memorial de cálculo'!$A:$I,9,FALSE),2)</f>
        <v>5.22</v>
      </c>
      <c r="G147" s="211">
        <v>337.03</v>
      </c>
      <c r="H147" s="305">
        <f t="shared" si="15"/>
        <v>444.74</v>
      </c>
      <c r="I147" s="304">
        <f t="shared" si="16"/>
        <v>2321.54</v>
      </c>
    </row>
    <row r="148" customFormat="1" ht="31.5" spans="1:9">
      <c r="A148" s="302" t="s">
        <v>337</v>
      </c>
      <c r="B148" s="302" t="s">
        <v>4</v>
      </c>
      <c r="C148" s="331" t="s">
        <v>128</v>
      </c>
      <c r="D148" s="303" t="s">
        <v>129</v>
      </c>
      <c r="E148" s="211" t="s">
        <v>28</v>
      </c>
      <c r="F148" s="304">
        <f>ROUND(VLOOKUP(A148,'Memorial de cálculo'!$A:$I,9,FALSE),2)</f>
        <v>2.52</v>
      </c>
      <c r="G148" s="211">
        <v>574.43</v>
      </c>
      <c r="H148" s="305">
        <f t="shared" si="15"/>
        <v>758.02</v>
      </c>
      <c r="I148" s="304">
        <f t="shared" si="16"/>
        <v>1910.21</v>
      </c>
    </row>
    <row r="149" customFormat="1" ht="31.5" spans="1:9">
      <c r="A149" s="302" t="s">
        <v>338</v>
      </c>
      <c r="B149" s="302" t="s">
        <v>4</v>
      </c>
      <c r="C149" s="331" t="s">
        <v>131</v>
      </c>
      <c r="D149" s="303" t="s">
        <v>132</v>
      </c>
      <c r="E149" s="211" t="s">
        <v>28</v>
      </c>
      <c r="F149" s="304">
        <f>ROUND(VLOOKUP(A149,'Memorial de cálculo'!$A:$I,9,FALSE),2)</f>
        <v>0.5</v>
      </c>
      <c r="G149" s="211">
        <v>479.73</v>
      </c>
      <c r="H149" s="305">
        <f t="shared" si="15"/>
        <v>633.05</v>
      </c>
      <c r="I149" s="304">
        <f t="shared" si="16"/>
        <v>316.53</v>
      </c>
    </row>
    <row r="150" ht="15.75" spans="1:9">
      <c r="A150" s="307" t="s">
        <v>339</v>
      </c>
      <c r="B150" s="308"/>
      <c r="C150" s="308"/>
      <c r="D150" s="300" t="s">
        <v>340</v>
      </c>
      <c r="E150" s="308"/>
      <c r="F150" s="308"/>
      <c r="G150" s="308"/>
      <c r="H150" s="308"/>
      <c r="I150" s="323"/>
    </row>
    <row r="151" customFormat="1" ht="15.75" spans="1:9">
      <c r="A151" s="302" t="s">
        <v>341</v>
      </c>
      <c r="B151" s="302" t="s">
        <v>4</v>
      </c>
      <c r="C151" s="331" t="s">
        <v>142</v>
      </c>
      <c r="D151" s="303" t="s">
        <v>143</v>
      </c>
      <c r="E151" s="211" t="s">
        <v>28</v>
      </c>
      <c r="F151" s="304">
        <f>ROUND(VLOOKUP(A151,'Memorial de cálculo'!$A:$I,9,FALSE),2)</f>
        <v>2.23</v>
      </c>
      <c r="G151" s="211">
        <v>284.5</v>
      </c>
      <c r="H151" s="305">
        <f t="shared" si="15"/>
        <v>375.43</v>
      </c>
      <c r="I151" s="304">
        <f t="shared" si="16"/>
        <v>837.21</v>
      </c>
    </row>
    <row r="152" ht="15.75" spans="1:9">
      <c r="A152" s="307" t="s">
        <v>342</v>
      </c>
      <c r="B152" s="308"/>
      <c r="C152" s="308"/>
      <c r="D152" s="300" t="s">
        <v>343</v>
      </c>
      <c r="E152" s="308"/>
      <c r="F152" s="308"/>
      <c r="G152" s="308"/>
      <c r="H152" s="308"/>
      <c r="I152" s="323"/>
    </row>
    <row r="153" customFormat="1" ht="47.25" spans="1:9">
      <c r="A153" s="302" t="s">
        <v>344</v>
      </c>
      <c r="B153" s="302" t="s">
        <v>4</v>
      </c>
      <c r="C153" s="331" t="s">
        <v>262</v>
      </c>
      <c r="D153" s="303" t="s">
        <v>263</v>
      </c>
      <c r="E153" s="211" t="s">
        <v>28</v>
      </c>
      <c r="F153" s="304">
        <f>ROUND(VLOOKUP(A153,'Memorial de cálculo'!$A:$I,9,FALSE),2)</f>
        <v>12.94</v>
      </c>
      <c r="G153" s="211">
        <v>475.27</v>
      </c>
      <c r="H153" s="305">
        <f t="shared" ref="H153:H157" si="17">ROUND(G153*(1+$I$7),2)</f>
        <v>627.17</v>
      </c>
      <c r="I153" s="304">
        <f t="shared" ref="I153:I157" si="18">ROUND(H153*F153,2)</f>
        <v>8115.58</v>
      </c>
    </row>
    <row r="154" customFormat="1" ht="31.5" spans="1:9">
      <c r="A154" s="302" t="s">
        <v>345</v>
      </c>
      <c r="B154" s="302" t="s">
        <v>4</v>
      </c>
      <c r="C154" s="331" t="s">
        <v>265</v>
      </c>
      <c r="D154" s="303" t="s">
        <v>266</v>
      </c>
      <c r="E154" s="211" t="s">
        <v>28</v>
      </c>
      <c r="F154" s="304">
        <f>ROUND(VLOOKUP(A154,'Memorial de cálculo'!$A:$I,9,FALSE),2)</f>
        <v>12.94</v>
      </c>
      <c r="G154" s="211">
        <v>115.99</v>
      </c>
      <c r="H154" s="305">
        <f t="shared" si="17"/>
        <v>153.06</v>
      </c>
      <c r="I154" s="304">
        <f t="shared" si="18"/>
        <v>1980.6</v>
      </c>
    </row>
    <row r="155" ht="15.75" spans="1:9">
      <c r="A155" s="302" t="s">
        <v>346</v>
      </c>
      <c r="B155" s="302" t="s">
        <v>4</v>
      </c>
      <c r="C155" s="331" t="s">
        <v>268</v>
      </c>
      <c r="D155" s="303" t="s">
        <v>269</v>
      </c>
      <c r="E155" s="211" t="s">
        <v>32</v>
      </c>
      <c r="F155" s="304">
        <f>ROUND(VLOOKUP(A155,'Memorial de cálculo'!$A:$I,9,FALSE),2)</f>
        <v>3.5</v>
      </c>
      <c r="G155" s="211">
        <v>41.05</v>
      </c>
      <c r="H155" s="305">
        <f t="shared" si="17"/>
        <v>54.17</v>
      </c>
      <c r="I155" s="304">
        <f t="shared" si="18"/>
        <v>189.6</v>
      </c>
    </row>
    <row r="156" ht="15.75" spans="1:9">
      <c r="A156" s="307" t="s">
        <v>347</v>
      </c>
      <c r="B156" s="308"/>
      <c r="C156" s="308"/>
      <c r="D156" s="300" t="s">
        <v>271</v>
      </c>
      <c r="E156" s="308"/>
      <c r="F156" s="308"/>
      <c r="G156" s="308"/>
      <c r="H156" s="308"/>
      <c r="I156" s="323"/>
    </row>
    <row r="157" ht="15.75" spans="1:9">
      <c r="A157" s="302" t="s">
        <v>348</v>
      </c>
      <c r="B157" s="302" t="s">
        <v>4</v>
      </c>
      <c r="C157" s="302">
        <v>110210</v>
      </c>
      <c r="D157" s="303" t="s">
        <v>273</v>
      </c>
      <c r="E157" s="211" t="s">
        <v>28</v>
      </c>
      <c r="F157" s="304">
        <f>ROUND(VLOOKUP(A157,'Memorial de cálculo'!$A:$I,9,FALSE),2)</f>
        <v>6.77</v>
      </c>
      <c r="G157" s="211">
        <v>91.18</v>
      </c>
      <c r="H157" s="305">
        <f t="shared" si="17"/>
        <v>120.32</v>
      </c>
      <c r="I157" s="304">
        <f t="shared" si="18"/>
        <v>814.57</v>
      </c>
    </row>
    <row r="158" ht="15.75" spans="1:9">
      <c r="A158" s="307" t="s">
        <v>349</v>
      </c>
      <c r="B158" s="308"/>
      <c r="C158" s="308"/>
      <c r="D158" s="300" t="s">
        <v>350</v>
      </c>
      <c r="E158" s="308"/>
      <c r="F158" s="308"/>
      <c r="G158" s="308"/>
      <c r="H158" s="308"/>
      <c r="I158" s="323"/>
    </row>
    <row r="159" ht="31.5" spans="1:9">
      <c r="A159" s="302" t="s">
        <v>351</v>
      </c>
      <c r="B159" s="302" t="s">
        <v>4</v>
      </c>
      <c r="C159" s="302">
        <v>120101</v>
      </c>
      <c r="D159" s="303" t="s">
        <v>150</v>
      </c>
      <c r="E159" s="211" t="s">
        <v>28</v>
      </c>
      <c r="F159" s="304">
        <f>ROUND(VLOOKUP(A159,'Memorial de cálculo'!$A:$I,9,FALSE),2)</f>
        <v>59.76</v>
      </c>
      <c r="G159" s="211">
        <v>5.8</v>
      </c>
      <c r="H159" s="305">
        <f t="shared" ref="H159:H164" si="19">ROUND(G159*(1+$I$7),2)</f>
        <v>7.65</v>
      </c>
      <c r="I159" s="304">
        <f t="shared" ref="I159:I164" si="20">ROUND(H159*F159,2)</f>
        <v>457.16</v>
      </c>
    </row>
    <row r="160" ht="47.25" spans="1:9">
      <c r="A160" s="302" t="s">
        <v>352</v>
      </c>
      <c r="B160" s="302" t="s">
        <v>4</v>
      </c>
      <c r="C160" s="302">
        <v>120201</v>
      </c>
      <c r="D160" s="303" t="s">
        <v>152</v>
      </c>
      <c r="E160" s="211" t="s">
        <v>28</v>
      </c>
      <c r="F160" s="304">
        <f>ROUND(VLOOKUP(A160,'Memorial de cálculo'!$A:$I,9,FALSE),2)</f>
        <v>20.89</v>
      </c>
      <c r="G160" s="211">
        <v>103.24</v>
      </c>
      <c r="H160" s="305">
        <f t="shared" si="19"/>
        <v>136.24</v>
      </c>
      <c r="I160" s="304">
        <f t="shared" si="20"/>
        <v>2846.05</v>
      </c>
    </row>
    <row r="161" ht="31.5" spans="1:9">
      <c r="A161" s="302" t="s">
        <v>353</v>
      </c>
      <c r="B161" s="302" t="s">
        <v>4</v>
      </c>
      <c r="C161" s="302">
        <v>120301</v>
      </c>
      <c r="D161" s="303" t="s">
        <v>154</v>
      </c>
      <c r="E161" s="211" t="s">
        <v>28</v>
      </c>
      <c r="F161" s="304">
        <f>ROUND(VLOOKUP(A161,'Memorial de cálculo'!$A:$I,9,FALSE),2)</f>
        <v>20.89</v>
      </c>
      <c r="G161" s="211">
        <v>28.24</v>
      </c>
      <c r="H161" s="305">
        <f t="shared" si="19"/>
        <v>37.27</v>
      </c>
      <c r="I161" s="304">
        <f t="shared" si="20"/>
        <v>778.57</v>
      </c>
    </row>
    <row r="162" ht="31.5" spans="1:9">
      <c r="A162" s="302" t="s">
        <v>354</v>
      </c>
      <c r="B162" s="302" t="s">
        <v>4</v>
      </c>
      <c r="C162" s="302">
        <v>120303</v>
      </c>
      <c r="D162" s="303" t="s">
        <v>156</v>
      </c>
      <c r="E162" s="211" t="s">
        <v>28</v>
      </c>
      <c r="F162" s="304">
        <f>ROUND(VLOOKUP(A162,'Memorial de cálculo'!$A:$I,9,FALSE),2)</f>
        <v>38.87</v>
      </c>
      <c r="G162" s="211">
        <v>48.15</v>
      </c>
      <c r="H162" s="305">
        <f t="shared" si="19"/>
        <v>63.54</v>
      </c>
      <c r="I162" s="304">
        <f t="shared" si="20"/>
        <v>2469.8</v>
      </c>
    </row>
    <row r="163" ht="15.75" spans="1:9">
      <c r="A163" s="307" t="s">
        <v>355</v>
      </c>
      <c r="B163" s="308"/>
      <c r="C163" s="308"/>
      <c r="D163" s="300" t="s">
        <v>163</v>
      </c>
      <c r="E163" s="308"/>
      <c r="F163" s="308"/>
      <c r="G163" s="308"/>
      <c r="H163" s="308"/>
      <c r="I163" s="323"/>
    </row>
    <row r="164" ht="31.5" spans="1:9">
      <c r="A164" s="302" t="s">
        <v>356</v>
      </c>
      <c r="B164" s="302" t="s">
        <v>4</v>
      </c>
      <c r="C164" s="302">
        <v>130103</v>
      </c>
      <c r="D164" s="303" t="s">
        <v>169</v>
      </c>
      <c r="E164" s="211" t="s">
        <v>28</v>
      </c>
      <c r="F164" s="304">
        <f>ROUND(VLOOKUP(A164,'Memorial de cálculo'!$A:$I,9,FALSE),2)</f>
        <v>7.51</v>
      </c>
      <c r="G164" s="211">
        <v>20.46</v>
      </c>
      <c r="H164" s="305">
        <f t="shared" si="19"/>
        <v>27</v>
      </c>
      <c r="I164" s="304">
        <f t="shared" si="20"/>
        <v>202.77</v>
      </c>
    </row>
    <row r="165" ht="15.75" spans="1:9">
      <c r="A165" s="302" t="s">
        <v>357</v>
      </c>
      <c r="B165" s="302" t="s">
        <v>4</v>
      </c>
      <c r="C165" s="302">
        <v>130113</v>
      </c>
      <c r="D165" s="303" t="s">
        <v>358</v>
      </c>
      <c r="E165" s="211" t="s">
        <v>28</v>
      </c>
      <c r="F165" s="304">
        <f>ROUND(VLOOKUP(A165,'Memorial de cálculo'!$A:$I,9,FALSE),2)</f>
        <v>7.51</v>
      </c>
      <c r="G165" s="211">
        <v>68.64</v>
      </c>
      <c r="H165" s="305">
        <f t="shared" ref="H165:H168" si="21">ROUND(G165*(1+$I$7),2)</f>
        <v>90.58</v>
      </c>
      <c r="I165" s="304">
        <f t="shared" ref="I165:I168" si="22">ROUND(H165*F165,2)</f>
        <v>680.26</v>
      </c>
    </row>
    <row r="166" ht="31.5" spans="1:9">
      <c r="A166" s="302" t="s">
        <v>359</v>
      </c>
      <c r="B166" s="302" t="s">
        <v>4</v>
      </c>
      <c r="C166" s="302">
        <v>130219</v>
      </c>
      <c r="D166" s="303" t="s">
        <v>171</v>
      </c>
      <c r="E166" s="211" t="s">
        <v>28</v>
      </c>
      <c r="F166" s="304">
        <f>ROUND(VLOOKUP(A166,'Memorial de cálculo'!$A:$I,9,FALSE),2)</f>
        <v>7.51</v>
      </c>
      <c r="G166" s="211">
        <v>70.42</v>
      </c>
      <c r="H166" s="305">
        <f t="shared" si="21"/>
        <v>92.93</v>
      </c>
      <c r="I166" s="304">
        <f t="shared" si="22"/>
        <v>697.9</v>
      </c>
    </row>
    <row r="167" ht="15.75" spans="1:9">
      <c r="A167" s="307" t="s">
        <v>360</v>
      </c>
      <c r="B167" s="308"/>
      <c r="C167" s="308"/>
      <c r="D167" s="300" t="s">
        <v>173</v>
      </c>
      <c r="E167" s="308"/>
      <c r="F167" s="308"/>
      <c r="G167" s="308"/>
      <c r="H167" s="308"/>
      <c r="I167" s="323"/>
    </row>
    <row r="168" ht="31.5" spans="1:9">
      <c r="A168" s="302" t="s">
        <v>361</v>
      </c>
      <c r="B168" s="302" t="s">
        <v>4</v>
      </c>
      <c r="C168" s="302">
        <v>150313</v>
      </c>
      <c r="D168" s="303" t="s">
        <v>179</v>
      </c>
      <c r="E168" s="211" t="s">
        <v>59</v>
      </c>
      <c r="F168" s="304">
        <f>ROUND(VLOOKUP(A168,'Memorial de cálculo'!$A:$I,9,FALSE),2)</f>
        <v>1</v>
      </c>
      <c r="G168" s="211">
        <v>188.66</v>
      </c>
      <c r="H168" s="305">
        <f t="shared" si="21"/>
        <v>248.96</v>
      </c>
      <c r="I168" s="304">
        <f t="shared" si="22"/>
        <v>248.96</v>
      </c>
    </row>
    <row r="169" ht="31.5" spans="1:9">
      <c r="A169" s="302" t="s">
        <v>362</v>
      </c>
      <c r="B169" s="302" t="s">
        <v>4</v>
      </c>
      <c r="C169" s="302">
        <v>151307</v>
      </c>
      <c r="D169" s="303" t="s">
        <v>363</v>
      </c>
      <c r="E169" s="211" t="s">
        <v>59</v>
      </c>
      <c r="F169" s="304">
        <f>ROUND(VLOOKUP(A169,'Memorial de cálculo'!$A:$I,9,FALSE),2)</f>
        <v>1</v>
      </c>
      <c r="G169" s="211">
        <v>58.12</v>
      </c>
      <c r="H169" s="305">
        <f t="shared" ref="H169:H177" si="23">ROUND(G169*(1+$I$7),2)</f>
        <v>76.7</v>
      </c>
      <c r="I169" s="304">
        <f t="shared" ref="I169:I177" si="24">ROUND(H169*F169,2)</f>
        <v>76.7</v>
      </c>
    </row>
    <row r="170" ht="15.75" spans="1:9">
      <c r="A170" s="302" t="s">
        <v>364</v>
      </c>
      <c r="B170" s="302" t="s">
        <v>4</v>
      </c>
      <c r="C170" s="302">
        <v>151350</v>
      </c>
      <c r="D170" s="303" t="s">
        <v>365</v>
      </c>
      <c r="E170" s="211" t="s">
        <v>59</v>
      </c>
      <c r="F170" s="304">
        <f>ROUND(VLOOKUP(A170,'Memorial de cálculo'!$A:$I,9,FALSE),2)</f>
        <v>1</v>
      </c>
      <c r="G170" s="211">
        <v>150.72</v>
      </c>
      <c r="H170" s="305">
        <f t="shared" si="23"/>
        <v>198.89</v>
      </c>
      <c r="I170" s="304">
        <f t="shared" si="24"/>
        <v>198.89</v>
      </c>
    </row>
    <row r="171" s="127" customFormat="1" ht="15.75" spans="1:9">
      <c r="A171" s="302" t="s">
        <v>366</v>
      </c>
      <c r="B171" s="302" t="s">
        <v>4</v>
      </c>
      <c r="C171" s="302">
        <v>151404</v>
      </c>
      <c r="D171" s="303" t="s">
        <v>367</v>
      </c>
      <c r="E171" s="211" t="s">
        <v>32</v>
      </c>
      <c r="F171" s="304">
        <f>ROUND(VLOOKUP(A171,'Memorial de cálculo'!$A:$I,9,FALSE),2)</f>
        <v>23.5</v>
      </c>
      <c r="G171" s="211">
        <v>11.89</v>
      </c>
      <c r="H171" s="305">
        <f t="shared" si="23"/>
        <v>15.69</v>
      </c>
      <c r="I171" s="304">
        <f t="shared" si="24"/>
        <v>368.72</v>
      </c>
    </row>
    <row r="172" ht="31.5" spans="1:9">
      <c r="A172" s="302" t="s">
        <v>368</v>
      </c>
      <c r="B172" s="302" t="s">
        <v>4</v>
      </c>
      <c r="C172" s="302">
        <v>151801</v>
      </c>
      <c r="D172" s="303" t="s">
        <v>199</v>
      </c>
      <c r="E172" s="211" t="s">
        <v>59</v>
      </c>
      <c r="F172" s="304">
        <f>ROUND(VLOOKUP(A172,'Memorial de cálculo'!$A:$I,9,FALSE),2)</f>
        <v>1</v>
      </c>
      <c r="G172" s="211">
        <v>199.48</v>
      </c>
      <c r="H172" s="305">
        <f t="shared" si="23"/>
        <v>263.23</v>
      </c>
      <c r="I172" s="304">
        <f t="shared" si="24"/>
        <v>263.23</v>
      </c>
    </row>
    <row r="173" ht="47.25" spans="1:9">
      <c r="A173" s="302" t="s">
        <v>369</v>
      </c>
      <c r="B173" s="302" t="s">
        <v>4</v>
      </c>
      <c r="C173" s="302">
        <v>151803</v>
      </c>
      <c r="D173" s="303" t="s">
        <v>201</v>
      </c>
      <c r="E173" s="211" t="s">
        <v>59</v>
      </c>
      <c r="F173" s="304">
        <f>ROUND(VLOOKUP(A173,'Memorial de cálculo'!$A:$I,9,FALSE),2)</f>
        <v>2</v>
      </c>
      <c r="G173" s="211">
        <v>203.28</v>
      </c>
      <c r="H173" s="305">
        <f t="shared" si="23"/>
        <v>268.25</v>
      </c>
      <c r="I173" s="304">
        <f t="shared" si="24"/>
        <v>536.5</v>
      </c>
    </row>
    <row r="174" ht="47.25" spans="1:9">
      <c r="A174" s="302" t="s">
        <v>370</v>
      </c>
      <c r="B174" s="302" t="s">
        <v>4</v>
      </c>
      <c r="C174" s="302">
        <v>151811</v>
      </c>
      <c r="D174" s="303" t="s">
        <v>371</v>
      </c>
      <c r="E174" s="211" t="s">
        <v>59</v>
      </c>
      <c r="F174" s="304">
        <f>ROUND(VLOOKUP(A174,'Memorial de cálculo'!$A:$I,9,FALSE),2)</f>
        <v>1</v>
      </c>
      <c r="G174" s="211">
        <v>214.16</v>
      </c>
      <c r="H174" s="305">
        <f t="shared" si="23"/>
        <v>282.61</v>
      </c>
      <c r="I174" s="304">
        <f t="shared" si="24"/>
        <v>282.61</v>
      </c>
    </row>
    <row r="175" s="127" customFormat="1" ht="47.25" spans="1:9">
      <c r="A175" s="302" t="s">
        <v>372</v>
      </c>
      <c r="B175" s="302" t="s">
        <v>4</v>
      </c>
      <c r="C175" s="302">
        <v>150610</v>
      </c>
      <c r="D175" s="303" t="s">
        <v>373</v>
      </c>
      <c r="E175" s="211" t="s">
        <v>59</v>
      </c>
      <c r="F175" s="304">
        <f>ROUND(VLOOKUP(A175,'Memorial de cálculo'!$A:$I,9,FALSE),2)</f>
        <v>1</v>
      </c>
      <c r="G175" s="211">
        <v>314.05</v>
      </c>
      <c r="H175" s="305">
        <f t="shared" si="23"/>
        <v>414.42</v>
      </c>
      <c r="I175" s="304">
        <f t="shared" si="24"/>
        <v>414.42</v>
      </c>
    </row>
    <row r="176" s="127" customFormat="1" ht="15.75" spans="1:9">
      <c r="A176" s="302" t="s">
        <v>374</v>
      </c>
      <c r="B176" s="302" t="s">
        <v>4</v>
      </c>
      <c r="C176" s="302">
        <v>151125</v>
      </c>
      <c r="D176" s="303" t="s">
        <v>375</v>
      </c>
      <c r="E176" s="211" t="s">
        <v>32</v>
      </c>
      <c r="F176" s="304">
        <f>ROUND(VLOOKUP(A176,'Memorial de cálculo'!$A:$I,9,FALSE),2)</f>
        <v>1.5</v>
      </c>
      <c r="G176" s="211">
        <v>14.82</v>
      </c>
      <c r="H176" s="305">
        <f t="shared" si="23"/>
        <v>19.56</v>
      </c>
      <c r="I176" s="304">
        <f t="shared" si="24"/>
        <v>29.34</v>
      </c>
    </row>
    <row r="177" s="127" customFormat="1" ht="15.75" spans="1:9">
      <c r="A177" s="302" t="s">
        <v>376</v>
      </c>
      <c r="B177" s="302" t="s">
        <v>4</v>
      </c>
      <c r="C177" s="302">
        <v>151132</v>
      </c>
      <c r="D177" s="303" t="s">
        <v>177</v>
      </c>
      <c r="E177" s="211" t="s">
        <v>32</v>
      </c>
      <c r="F177" s="304">
        <f>ROUND(VLOOKUP(A177,'Memorial de cálculo'!$A:$I,9,FALSE),2)</f>
        <v>7</v>
      </c>
      <c r="G177" s="211">
        <v>8.23</v>
      </c>
      <c r="H177" s="305">
        <f t="shared" si="23"/>
        <v>10.86</v>
      </c>
      <c r="I177" s="304">
        <f t="shared" si="24"/>
        <v>76.02</v>
      </c>
    </row>
    <row r="178" ht="15.75" spans="1:9">
      <c r="A178" s="307" t="s">
        <v>377</v>
      </c>
      <c r="B178" s="308"/>
      <c r="C178" s="308"/>
      <c r="D178" s="300" t="s">
        <v>378</v>
      </c>
      <c r="E178" s="308"/>
      <c r="F178" s="308"/>
      <c r="G178" s="308"/>
      <c r="H178" s="308"/>
      <c r="I178" s="323"/>
    </row>
    <row r="179" ht="47.25" spans="1:9">
      <c r="A179" s="302" t="s">
        <v>379</v>
      </c>
      <c r="B179" s="302" t="s">
        <v>4</v>
      </c>
      <c r="C179" s="302">
        <v>180108</v>
      </c>
      <c r="D179" s="303" t="s">
        <v>185</v>
      </c>
      <c r="E179" s="211" t="s">
        <v>59</v>
      </c>
      <c r="F179" s="304">
        <f>ROUND(VLOOKUP(A179,'Memorial de cálculo'!$A:$I,9,FALSE),2)</f>
        <v>1</v>
      </c>
      <c r="G179" s="211">
        <v>118.67</v>
      </c>
      <c r="H179" s="305">
        <f t="shared" ref="H179:H183" si="25">ROUND(G179*(1+$I$7),2)</f>
        <v>156.6</v>
      </c>
      <c r="I179" s="304">
        <f t="shared" ref="I179:I183" si="26">ROUND(H179*F179,2)</f>
        <v>156.6</v>
      </c>
    </row>
    <row r="180" ht="31.5" spans="1:9">
      <c r="A180" s="302" t="s">
        <v>380</v>
      </c>
      <c r="B180" s="302" t="s">
        <v>4</v>
      </c>
      <c r="C180" s="302">
        <v>180207</v>
      </c>
      <c r="D180" s="303" t="s">
        <v>381</v>
      </c>
      <c r="E180" s="211" t="s">
        <v>59</v>
      </c>
      <c r="F180" s="304">
        <f>ROUND(VLOOKUP(A180,'Memorial de cálculo'!$A:$I,9,FALSE),2)</f>
        <v>1</v>
      </c>
      <c r="G180" s="211">
        <v>62.12</v>
      </c>
      <c r="H180" s="305">
        <f t="shared" si="25"/>
        <v>81.97</v>
      </c>
      <c r="I180" s="304">
        <f t="shared" si="26"/>
        <v>81.97</v>
      </c>
    </row>
    <row r="181" ht="31.5" spans="1:9">
      <c r="A181" s="302" t="s">
        <v>382</v>
      </c>
      <c r="B181" s="302" t="s">
        <v>4</v>
      </c>
      <c r="C181" s="302">
        <v>180202</v>
      </c>
      <c r="D181" s="303" t="s">
        <v>189</v>
      </c>
      <c r="E181" s="211" t="s">
        <v>59</v>
      </c>
      <c r="F181" s="304">
        <f>ROUND(VLOOKUP(A181,'Memorial de cálculo'!$A:$I,9,FALSE),2)</f>
        <v>1</v>
      </c>
      <c r="G181" s="211">
        <v>44.93</v>
      </c>
      <c r="H181" s="305">
        <f t="shared" si="25"/>
        <v>59.29</v>
      </c>
      <c r="I181" s="304">
        <f t="shared" si="26"/>
        <v>59.29</v>
      </c>
    </row>
    <row r="182" ht="15.75" spans="1:9">
      <c r="A182" s="307" t="s">
        <v>383</v>
      </c>
      <c r="B182" s="308"/>
      <c r="C182" s="308"/>
      <c r="D182" s="300" t="s">
        <v>213</v>
      </c>
      <c r="E182" s="308"/>
      <c r="F182" s="308"/>
      <c r="G182" s="308"/>
      <c r="H182" s="308"/>
      <c r="I182" s="323"/>
    </row>
    <row r="183" ht="31.5" spans="1:9">
      <c r="A183" s="302" t="s">
        <v>384</v>
      </c>
      <c r="B183" s="302" t="s">
        <v>4</v>
      </c>
      <c r="C183" s="302">
        <v>190106</v>
      </c>
      <c r="D183" s="303" t="s">
        <v>215</v>
      </c>
      <c r="E183" s="211" t="s">
        <v>28</v>
      </c>
      <c r="F183" s="304">
        <f>ROUND(VLOOKUP(A183,'Memorial de cálculo'!$A:$I,9,FALSE),2)</f>
        <v>38.87</v>
      </c>
      <c r="G183" s="211">
        <v>21.09</v>
      </c>
      <c r="H183" s="305">
        <f t="shared" si="25"/>
        <v>27.83</v>
      </c>
      <c r="I183" s="304">
        <f t="shared" si="26"/>
        <v>1081.75</v>
      </c>
    </row>
    <row r="184" s="126" customFormat="1" ht="31.5" spans="1:9">
      <c r="A184" s="302" t="s">
        <v>385</v>
      </c>
      <c r="B184" s="302" t="s">
        <v>4</v>
      </c>
      <c r="C184" s="302">
        <v>190417</v>
      </c>
      <c r="D184" s="303" t="s">
        <v>219</v>
      </c>
      <c r="E184" s="259" t="s">
        <v>28</v>
      </c>
      <c r="F184" s="304">
        <f>ROUND(VLOOKUP(A184,'Memorial de cálculo'!$A:$I,9,FALSE),2)</f>
        <v>10.44</v>
      </c>
      <c r="G184" s="259">
        <v>20.01</v>
      </c>
      <c r="H184" s="305">
        <f t="shared" ref="H184:H188" si="27">ROUND(G184*(1+$I$7),2)</f>
        <v>26.41</v>
      </c>
      <c r="I184" s="304">
        <f t="shared" ref="I184:I188" si="28">ROUND(H184*F184,2)</f>
        <v>275.72</v>
      </c>
    </row>
    <row r="185" ht="15.75" spans="1:9">
      <c r="A185" s="307" t="s">
        <v>386</v>
      </c>
      <c r="B185" s="308"/>
      <c r="C185" s="308"/>
      <c r="D185" s="300" t="s">
        <v>387</v>
      </c>
      <c r="E185" s="308"/>
      <c r="F185" s="308"/>
      <c r="G185" s="308"/>
      <c r="H185" s="308"/>
      <c r="I185" s="323"/>
    </row>
    <row r="186" s="126" customFormat="1" ht="31.5" spans="1:9">
      <c r="A186" s="302" t="s">
        <v>388</v>
      </c>
      <c r="B186" s="302" t="s">
        <v>4</v>
      </c>
      <c r="C186" s="302">
        <v>200209</v>
      </c>
      <c r="D186" s="303" t="s">
        <v>279</v>
      </c>
      <c r="E186" s="259" t="s">
        <v>28</v>
      </c>
      <c r="F186" s="304">
        <f>ROUND(VLOOKUP(A186,'Memorial de cálculo'!$A:$I,9,FALSE),2)</f>
        <v>4.85</v>
      </c>
      <c r="G186" s="259">
        <v>135.25</v>
      </c>
      <c r="H186" s="305">
        <f t="shared" si="27"/>
        <v>178.48</v>
      </c>
      <c r="I186" s="304">
        <f t="shared" si="28"/>
        <v>865.63</v>
      </c>
    </row>
    <row r="187" ht="15.75" spans="1:9">
      <c r="A187" s="307" t="s">
        <v>389</v>
      </c>
      <c r="B187" s="308"/>
      <c r="C187" s="308"/>
      <c r="D187" s="300" t="s">
        <v>287</v>
      </c>
      <c r="E187" s="308"/>
      <c r="F187" s="308"/>
      <c r="G187" s="308"/>
      <c r="H187" s="308"/>
      <c r="I187" s="323"/>
    </row>
    <row r="188" s="126" customFormat="1" ht="15.75" spans="1:9">
      <c r="A188" s="302" t="s">
        <v>390</v>
      </c>
      <c r="B188" s="302" t="s">
        <v>4</v>
      </c>
      <c r="C188" s="302">
        <v>200401</v>
      </c>
      <c r="D188" s="303" t="s">
        <v>289</v>
      </c>
      <c r="E188" s="259" t="s">
        <v>28</v>
      </c>
      <c r="F188" s="304">
        <f>ROUND(VLOOKUP(A188,'Memorial de cálculo'!$A:$I,9,FALSE),2)</f>
        <v>7.51</v>
      </c>
      <c r="G188" s="259">
        <v>9.93</v>
      </c>
      <c r="H188" s="305">
        <f t="shared" si="27"/>
        <v>13.1</v>
      </c>
      <c r="I188" s="304">
        <f t="shared" si="28"/>
        <v>98.38</v>
      </c>
    </row>
    <row r="189" ht="15.75" spans="1:9">
      <c r="A189" s="307" t="s">
        <v>391</v>
      </c>
      <c r="B189" s="308"/>
      <c r="C189" s="308"/>
      <c r="D189" s="300" t="s">
        <v>291</v>
      </c>
      <c r="E189" s="308"/>
      <c r="F189" s="308"/>
      <c r="G189" s="308"/>
      <c r="H189" s="308"/>
      <c r="I189" s="323"/>
    </row>
    <row r="190" s="126" customFormat="1" ht="15.75" spans="1:9">
      <c r="A190" s="302" t="s">
        <v>392</v>
      </c>
      <c r="B190" s="302" t="s">
        <v>4</v>
      </c>
      <c r="C190" s="302">
        <v>210210</v>
      </c>
      <c r="D190" s="303" t="s">
        <v>393</v>
      </c>
      <c r="E190" s="259" t="s">
        <v>28</v>
      </c>
      <c r="F190" s="304">
        <f>ROUND(VLOOKUP(A190,'Memorial de cálculo'!$A:$I,9,FALSE),2)</f>
        <v>6.23</v>
      </c>
      <c r="G190" s="259">
        <v>321.79</v>
      </c>
      <c r="H190" s="305">
        <f>ROUND(G190*(1+$I$7),2)</f>
        <v>424.63</v>
      </c>
      <c r="I190" s="304">
        <f>ROUND(H190*F190,2)</f>
        <v>2645.44</v>
      </c>
    </row>
    <row r="191" s="126" customFormat="1" ht="31.5" spans="1:9">
      <c r="A191" s="302" t="s">
        <v>394</v>
      </c>
      <c r="B191" s="302" t="s">
        <v>395</v>
      </c>
      <c r="C191" s="302">
        <v>100862</v>
      </c>
      <c r="D191" s="303" t="s">
        <v>396</v>
      </c>
      <c r="E191" s="259" t="s">
        <v>59</v>
      </c>
      <c r="F191" s="304">
        <f>ROUND(VLOOKUP(A191,'Memorial de cálculo'!$A:$I,9,FALSE),2)</f>
        <v>21</v>
      </c>
      <c r="G191" s="259">
        <v>40.89</v>
      </c>
      <c r="H191" s="305">
        <f>ROUND(G191*(1+$I$7),2)</f>
        <v>53.96</v>
      </c>
      <c r="I191" s="304">
        <f>ROUND(H191*F191,2)</f>
        <v>1133.16</v>
      </c>
    </row>
    <row r="192" ht="15.75" spans="1:9">
      <c r="A192" s="307"/>
      <c r="B192" s="308"/>
      <c r="C192" s="308"/>
      <c r="D192" s="307" t="s">
        <v>397</v>
      </c>
      <c r="E192" s="308"/>
      <c r="F192" s="308"/>
      <c r="G192" s="308"/>
      <c r="H192" s="308"/>
      <c r="I192" s="330">
        <f>SUM(I123:I191)</f>
        <v>47346.39</v>
      </c>
    </row>
    <row r="193" ht="15.75" spans="1:9">
      <c r="A193" s="307"/>
      <c r="B193" s="308"/>
      <c r="C193" s="308"/>
      <c r="D193" s="307" t="s">
        <v>398</v>
      </c>
      <c r="E193" s="308"/>
      <c r="F193" s="308"/>
      <c r="G193" s="308"/>
      <c r="H193" s="308"/>
      <c r="I193" s="330">
        <f>SUM(I192,I120)</f>
        <v>357449.08</v>
      </c>
    </row>
    <row r="194" spans="1:9">
      <c r="A194" s="277"/>
      <c r="B194" s="277"/>
      <c r="C194" s="277"/>
      <c r="D194" s="277"/>
      <c r="E194" s="277"/>
      <c r="F194" s="277"/>
      <c r="G194" s="277"/>
      <c r="H194" s="277"/>
      <c r="I194" s="277"/>
    </row>
    <row r="195" s="277" customFormat="1"/>
    <row r="196" s="277" customFormat="1"/>
    <row r="197" s="277" customFormat="1"/>
    <row r="198" s="277" customFormat="1"/>
    <row r="199" s="277" customFormat="1"/>
    <row r="200" s="277" customFormat="1"/>
    <row r="201" s="277" customFormat="1"/>
    <row r="202" s="277" customFormat="1"/>
    <row r="203" s="277" customFormat="1"/>
    <row r="204" s="277" customFormat="1"/>
    <row r="205" s="277" customFormat="1"/>
    <row r="206" s="277" customFormat="1"/>
    <row r="207" s="277" customFormat="1"/>
    <row r="208" s="277" customFormat="1"/>
    <row r="209" s="277" customFormat="1"/>
    <row r="210" s="277" customFormat="1"/>
  </sheetData>
  <mergeCells count="11">
    <mergeCell ref="B7:G7"/>
    <mergeCell ref="B8:G8"/>
    <mergeCell ref="B9:C9"/>
    <mergeCell ref="A120:H120"/>
    <mergeCell ref="A9:A10"/>
    <mergeCell ref="D9:D10"/>
    <mergeCell ref="E9:E10"/>
    <mergeCell ref="F9:F10"/>
    <mergeCell ref="G9:G10"/>
    <mergeCell ref="H9:H10"/>
    <mergeCell ref="I9:I10"/>
  </mergeCells>
  <pageMargins left="0.751388888888889" right="0.751388888888889" top="1" bottom="1" header="0.5" footer="0.5"/>
  <pageSetup paperSize="9" scale="71" fitToHeight="0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E764"/>
  <sheetViews>
    <sheetView view="pageBreakPreview" zoomScaleNormal="100" zoomScaleSheetLayoutView="100" topLeftCell="A46" workbookViewId="0">
      <selection activeCell="L22" sqref="L22"/>
    </sheetView>
  </sheetViews>
  <sheetFormatPr defaultColWidth="9.14285714285714" defaultRowHeight="15"/>
  <cols>
    <col min="2" max="2" width="42.5714285714286" customWidth="1"/>
    <col min="3" max="3" width="38.4285714285714" style="130" customWidth="1"/>
    <col min="4" max="4" width="14.7142857142857" style="131" customWidth="1"/>
    <col min="5" max="6" width="14.7142857142857" customWidth="1"/>
    <col min="7" max="7" width="14.7142857142857" style="132" customWidth="1"/>
    <col min="8" max="8" width="14.7142857142857" style="133" customWidth="1"/>
    <col min="9" max="9" width="14.7142857142857" customWidth="1"/>
  </cols>
  <sheetData>
    <row r="1" spans="1:9">
      <c r="A1" s="134" t="s">
        <v>0</v>
      </c>
      <c r="B1" s="135"/>
      <c r="C1" s="136"/>
      <c r="D1" s="137"/>
      <c r="E1" s="138"/>
      <c r="F1" s="138"/>
      <c r="G1" s="139"/>
      <c r="H1" s="140"/>
      <c r="I1" s="213"/>
    </row>
    <row r="2" spans="1:9">
      <c r="A2" s="141" t="s">
        <v>1</v>
      </c>
      <c r="B2" s="142"/>
      <c r="C2" s="143"/>
      <c r="D2" s="144"/>
      <c r="E2" s="145"/>
      <c r="F2" s="145"/>
      <c r="G2" s="145"/>
      <c r="H2" s="146"/>
      <c r="I2" s="214"/>
    </row>
    <row r="3" spans="1:9">
      <c r="A3" s="147"/>
      <c r="B3" s="148"/>
      <c r="C3" s="149"/>
      <c r="D3" s="150"/>
      <c r="E3" s="151"/>
      <c r="F3" s="151"/>
      <c r="G3" s="151"/>
      <c r="H3" s="152"/>
      <c r="I3" s="215"/>
    </row>
    <row r="4" spans="1:9">
      <c r="A4" s="147"/>
      <c r="B4" s="148"/>
      <c r="C4" s="149"/>
      <c r="D4" s="150"/>
      <c r="E4" s="151"/>
      <c r="F4" s="151"/>
      <c r="G4" s="151"/>
      <c r="H4" s="152"/>
      <c r="I4" s="215"/>
    </row>
    <row r="5" ht="15.75" spans="1:9">
      <c r="A5" s="141" t="s">
        <v>2</v>
      </c>
      <c r="B5" s="142"/>
      <c r="C5" s="143"/>
      <c r="D5" s="144"/>
      <c r="E5" s="145"/>
      <c r="F5" s="145"/>
      <c r="G5" s="145"/>
      <c r="H5" s="146"/>
      <c r="I5" s="214"/>
    </row>
    <row r="6" ht="15.75" spans="1:9">
      <c r="A6" s="147"/>
      <c r="B6" s="148"/>
      <c r="C6" s="149"/>
      <c r="D6" s="150"/>
      <c r="E6" s="153" t="s">
        <v>3</v>
      </c>
      <c r="F6" s="154"/>
      <c r="G6" s="155"/>
      <c r="H6" s="156"/>
      <c r="I6" s="216"/>
    </row>
    <row r="7" ht="15.75" spans="1:9">
      <c r="A7" s="157" t="s">
        <v>5</v>
      </c>
      <c r="B7" s="158" t="s">
        <v>399</v>
      </c>
      <c r="C7" s="159"/>
      <c r="D7" s="160"/>
      <c r="E7" s="153" t="s">
        <v>7</v>
      </c>
      <c r="F7" s="154"/>
      <c r="G7" s="155"/>
      <c r="H7" s="156"/>
      <c r="I7" s="216"/>
    </row>
    <row r="8" ht="15.75" spans="1:9">
      <c r="A8" s="161" t="s">
        <v>8</v>
      </c>
      <c r="B8" s="162" t="s">
        <v>9</v>
      </c>
      <c r="C8" s="163"/>
      <c r="D8" s="164"/>
      <c r="E8" s="153" t="s">
        <v>10</v>
      </c>
      <c r="F8" s="154"/>
      <c r="G8" s="155"/>
      <c r="H8" s="156"/>
      <c r="I8" s="216"/>
    </row>
    <row r="9" spans="1:9">
      <c r="A9" s="165" t="s">
        <v>11</v>
      </c>
      <c r="B9" s="166" t="s">
        <v>400</v>
      </c>
      <c r="C9" s="167" t="s">
        <v>401</v>
      </c>
      <c r="D9" s="168"/>
      <c r="E9" s="169"/>
      <c r="F9" s="169"/>
      <c r="G9" s="170"/>
      <c r="H9" s="171"/>
      <c r="I9" s="217"/>
    </row>
    <row r="10" spans="1:9">
      <c r="A10" s="165"/>
      <c r="B10" s="172"/>
      <c r="C10" s="173" t="s">
        <v>402</v>
      </c>
      <c r="D10" s="168" t="s">
        <v>403</v>
      </c>
      <c r="E10" s="169"/>
      <c r="F10" s="169"/>
      <c r="G10" s="170"/>
      <c r="H10" s="174"/>
      <c r="I10" s="218" t="s">
        <v>404</v>
      </c>
    </row>
    <row r="11" s="125" customFormat="1" ht="25.5" spans="1:57">
      <c r="A11" s="175" t="s">
        <v>25</v>
      </c>
      <c r="B11" s="176" t="str">
        <f>VLOOKUP(A11,Planilha!$A$11:$I$39026,4,FALSE)</f>
        <v>Placa de obra nas dimensões de 2.0 x 4.0 m, padrão DER</v>
      </c>
      <c r="C11" s="177" t="s">
        <v>28</v>
      </c>
      <c r="D11" s="178" t="s">
        <v>405</v>
      </c>
      <c r="E11" s="179" t="s">
        <v>406</v>
      </c>
      <c r="F11" s="179" t="s">
        <v>407</v>
      </c>
      <c r="G11" s="179" t="s">
        <v>408</v>
      </c>
      <c r="H11" s="180" t="s">
        <v>409</v>
      </c>
      <c r="I11" s="219">
        <f>SUM(H12:H12)</f>
        <v>8</v>
      </c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  <c r="V11" s="126"/>
      <c r="W11" s="126"/>
      <c r="X11" s="126"/>
      <c r="Y11" s="126"/>
      <c r="Z11" s="126"/>
      <c r="AA11" s="126"/>
      <c r="AB11" s="126"/>
      <c r="AC11" s="126"/>
      <c r="AD11" s="126"/>
      <c r="AE11" s="126"/>
      <c r="AF11" s="126"/>
      <c r="AG11" s="126"/>
      <c r="AH11" s="126"/>
      <c r="AI11" s="126"/>
      <c r="AJ11" s="126"/>
      <c r="AK11" s="126"/>
      <c r="AL11" s="126"/>
      <c r="AM11" s="126"/>
      <c r="AN11" s="126"/>
      <c r="AO11" s="126"/>
      <c r="AP11" s="126"/>
      <c r="AQ11" s="126"/>
      <c r="AR11" s="126"/>
      <c r="AS11" s="126"/>
      <c r="AT11" s="126"/>
      <c r="AU11" s="126"/>
      <c r="AV11" s="126"/>
      <c r="AW11" s="126"/>
      <c r="AX11" s="126"/>
      <c r="AY11" s="126"/>
      <c r="AZ11" s="126"/>
      <c r="BA11" s="126"/>
      <c r="BB11" s="126"/>
      <c r="BC11" s="126"/>
      <c r="BD11" s="126"/>
      <c r="BE11" s="126"/>
    </row>
    <row r="12" s="126" customFormat="1" spans="1:9">
      <c r="A12" s="181"/>
      <c r="B12" s="182" t="s">
        <v>410</v>
      </c>
      <c r="C12" s="183"/>
      <c r="D12" s="184">
        <v>2</v>
      </c>
      <c r="E12" s="185">
        <v>4</v>
      </c>
      <c r="F12" s="185"/>
      <c r="G12" s="183"/>
      <c r="H12" s="186">
        <f>D12*E12</f>
        <v>8</v>
      </c>
      <c r="I12" s="220"/>
    </row>
    <row r="13" spans="1:9">
      <c r="A13" s="187"/>
      <c r="B13" s="187"/>
      <c r="C13" s="188"/>
      <c r="D13" s="189"/>
      <c r="E13" s="187"/>
      <c r="F13" s="187"/>
      <c r="G13" s="190"/>
      <c r="H13" s="191"/>
      <c r="I13" s="187"/>
    </row>
    <row r="14" s="125" customFormat="1" ht="25.5" spans="1:57">
      <c r="A14" s="175" t="s">
        <v>29</v>
      </c>
      <c r="B14" s="176" t="str">
        <f>VLOOKUP(A14,Planilha!$A$11:$I$39026,4,FALSE)</f>
        <v>Locação de andaime metálico para fachada - tipo torre (aluguel mensal)</v>
      </c>
      <c r="C14" s="177" t="str">
        <f>VLOOKUP($A14,Planilha!$A$11:$I$39026,5,FALSE)</f>
        <v>m</v>
      </c>
      <c r="D14" s="178" t="s">
        <v>405</v>
      </c>
      <c r="E14" s="179" t="s">
        <v>406</v>
      </c>
      <c r="F14" s="179" t="s">
        <v>407</v>
      </c>
      <c r="G14" s="179" t="s">
        <v>408</v>
      </c>
      <c r="H14" s="180" t="s">
        <v>411</v>
      </c>
      <c r="I14" s="219">
        <f>SUM(H15:H15)</f>
        <v>8.3</v>
      </c>
      <c r="J14" s="126"/>
      <c r="K14" s="126"/>
      <c r="L14" s="126"/>
      <c r="M14" s="126"/>
      <c r="N14" s="126"/>
      <c r="O14" s="126"/>
      <c r="P14" s="126"/>
      <c r="Q14" s="126"/>
      <c r="R14" s="126"/>
      <c r="S14" s="126"/>
      <c r="T14" s="126"/>
      <c r="U14" s="126"/>
      <c r="V14" s="126"/>
      <c r="W14" s="126"/>
      <c r="X14" s="126"/>
      <c r="Y14" s="126"/>
      <c r="Z14" s="126"/>
      <c r="AA14" s="126"/>
      <c r="AB14" s="126"/>
      <c r="AC14" s="126"/>
      <c r="AD14" s="126"/>
      <c r="AE14" s="126"/>
      <c r="AF14" s="126"/>
      <c r="AG14" s="126"/>
      <c r="AH14" s="126"/>
      <c r="AI14" s="126"/>
      <c r="AJ14" s="126"/>
      <c r="AK14" s="126"/>
      <c r="AL14" s="126"/>
      <c r="AM14" s="126"/>
      <c r="AN14" s="126"/>
      <c r="AO14" s="126"/>
      <c r="AP14" s="126"/>
      <c r="AQ14" s="126"/>
      <c r="AR14" s="126"/>
      <c r="AS14" s="126"/>
      <c r="AT14" s="126"/>
      <c r="AU14" s="126"/>
      <c r="AV14" s="126"/>
      <c r="AW14" s="126"/>
      <c r="AX14" s="126"/>
      <c r="AY14" s="126"/>
      <c r="AZ14" s="126"/>
      <c r="BA14" s="126"/>
      <c r="BB14" s="126"/>
      <c r="BC14" s="126"/>
      <c r="BD14" s="126"/>
      <c r="BE14" s="126"/>
    </row>
    <row r="15" s="126" customFormat="1" spans="1:9">
      <c r="A15" s="181"/>
      <c r="B15" s="182" t="s">
        <v>410</v>
      </c>
      <c r="C15" s="183" t="s">
        <v>412</v>
      </c>
      <c r="D15" s="184">
        <v>1.65</v>
      </c>
      <c r="E15" s="185">
        <v>5</v>
      </c>
      <c r="F15" s="185"/>
      <c r="G15" s="183"/>
      <c r="H15" s="186">
        <f>E15+D15*2</f>
        <v>8.3</v>
      </c>
      <c r="I15" s="220"/>
    </row>
    <row r="16" spans="1:9">
      <c r="A16" s="187"/>
      <c r="B16" s="187"/>
      <c r="C16" s="188"/>
      <c r="D16" s="189"/>
      <c r="E16" s="187"/>
      <c r="F16" s="187"/>
      <c r="G16" s="190"/>
      <c r="H16" s="191"/>
      <c r="I16" s="187"/>
    </row>
    <row r="17" s="125" customFormat="1" ht="63.75" spans="1:57">
      <c r="A17" s="175" t="s">
        <v>33</v>
      </c>
      <c r="B17" s="176" t="str">
        <f>VLOOKUP(A17,Planilha!$A$11:$I$39026,4,FALSE)</f>
        <v>Galpão para serraria e carpintaria área 12.00m2, em peça de madeira 8x8cm e contraventamento de 5x7cm, cobertura de telha de fibroc. de 6mm, inclusive ponto e cabo de alimentação da máquina, conf. projeto (1 utilização)</v>
      </c>
      <c r="C17" s="177" t="s">
        <v>28</v>
      </c>
      <c r="D17" s="178" t="s">
        <v>405</v>
      </c>
      <c r="E17" s="179" t="s">
        <v>406</v>
      </c>
      <c r="F17" s="179" t="s">
        <v>407</v>
      </c>
      <c r="G17" s="179" t="s">
        <v>408</v>
      </c>
      <c r="H17" s="180" t="s">
        <v>411</v>
      </c>
      <c r="I17" s="219">
        <f>SUM(H18:H18)</f>
        <v>12</v>
      </c>
      <c r="J17" s="126"/>
      <c r="K17" s="126"/>
      <c r="L17" s="126"/>
      <c r="M17" s="126"/>
      <c r="N17" s="126"/>
      <c r="O17" s="126"/>
      <c r="P17" s="126"/>
      <c r="Q17" s="126"/>
      <c r="R17" s="126"/>
      <c r="S17" s="126"/>
      <c r="T17" s="126"/>
      <c r="U17" s="126"/>
      <c r="V17" s="126"/>
      <c r="W17" s="126"/>
      <c r="X17" s="126"/>
      <c r="Y17" s="126"/>
      <c r="Z17" s="126"/>
      <c r="AA17" s="126"/>
      <c r="AB17" s="126"/>
      <c r="AC17" s="126"/>
      <c r="AD17" s="126"/>
      <c r="AE17" s="126"/>
      <c r="AF17" s="126"/>
      <c r="AG17" s="126"/>
      <c r="AH17" s="126"/>
      <c r="AI17" s="126"/>
      <c r="AJ17" s="126"/>
      <c r="AK17" s="126"/>
      <c r="AL17" s="126"/>
      <c r="AM17" s="126"/>
      <c r="AN17" s="126"/>
      <c r="AO17" s="126"/>
      <c r="AP17" s="126"/>
      <c r="AQ17" s="126"/>
      <c r="AR17" s="126"/>
      <c r="AS17" s="126"/>
      <c r="AT17" s="126"/>
      <c r="AU17" s="126"/>
      <c r="AV17" s="126"/>
      <c r="AW17" s="126"/>
      <c r="AX17" s="126"/>
      <c r="AY17" s="126"/>
      <c r="AZ17" s="126"/>
      <c r="BA17" s="126"/>
      <c r="BB17" s="126"/>
      <c r="BC17" s="126"/>
      <c r="BD17" s="126"/>
      <c r="BE17" s="126"/>
    </row>
    <row r="18" s="126" customFormat="1" spans="1:9">
      <c r="A18" s="181"/>
      <c r="B18" s="182" t="s">
        <v>410</v>
      </c>
      <c r="C18" s="183"/>
      <c r="D18" s="184"/>
      <c r="E18" s="185"/>
      <c r="F18" s="185"/>
      <c r="G18" s="183"/>
      <c r="H18" s="186">
        <v>12</v>
      </c>
      <c r="I18" s="220"/>
    </row>
    <row r="19" spans="1:9">
      <c r="A19" s="187"/>
      <c r="B19" s="187"/>
      <c r="C19" s="188"/>
      <c r="D19" s="189"/>
      <c r="E19" s="187"/>
      <c r="F19" s="187"/>
      <c r="G19" s="190"/>
      <c r="H19" s="191"/>
      <c r="I19" s="187"/>
    </row>
    <row r="20" s="125" customFormat="1" ht="76.5" spans="1:57">
      <c r="A20" s="175" t="s">
        <v>36</v>
      </c>
      <c r="B20" s="176" t="str">
        <f>VLOOKUP(A20,Planilha!$A$11:$I$39026,4,FALSE)</f>
        <v>Galpão para corte e armação com área de 6.00m2, em peças de madeira 8x8cm e contraventamento de 5x7cm, cobertura de telhas de fibroc. de 6mm, inclusive ponto e cabo de alimentação da máquina, conf. projeto (1 utilização)</v>
      </c>
      <c r="C20" s="177" t="str">
        <f>VLOOKUP($A20,Planilha!$A$11:$I$39026,5,FALSE)</f>
        <v>m²</v>
      </c>
      <c r="D20" s="178" t="s">
        <v>405</v>
      </c>
      <c r="E20" s="179" t="s">
        <v>406</v>
      </c>
      <c r="F20" s="179" t="s">
        <v>407</v>
      </c>
      <c r="G20" s="179" t="s">
        <v>408</v>
      </c>
      <c r="H20" s="180" t="s">
        <v>411</v>
      </c>
      <c r="I20" s="219">
        <f>SUM(H21:H21)</f>
        <v>6</v>
      </c>
      <c r="J20" s="126"/>
      <c r="K20" s="126"/>
      <c r="L20" s="126"/>
      <c r="M20" s="126"/>
      <c r="N20" s="126"/>
      <c r="O20" s="126"/>
      <c r="P20" s="126"/>
      <c r="Q20" s="126"/>
      <c r="R20" s="126"/>
      <c r="S20" s="126"/>
      <c r="T20" s="126"/>
      <c r="U20" s="126"/>
      <c r="V20" s="126"/>
      <c r="W20" s="126"/>
      <c r="X20" s="126"/>
      <c r="Y20" s="126"/>
      <c r="Z20" s="126"/>
      <c r="AA20" s="126"/>
      <c r="AB20" s="126"/>
      <c r="AC20" s="126"/>
      <c r="AD20" s="126"/>
      <c r="AE20" s="126"/>
      <c r="AF20" s="126"/>
      <c r="AG20" s="126"/>
      <c r="AH20" s="126"/>
      <c r="AI20" s="126"/>
      <c r="AJ20" s="126"/>
      <c r="AK20" s="126"/>
      <c r="AL20" s="126"/>
      <c r="AM20" s="126"/>
      <c r="AN20" s="126"/>
      <c r="AO20" s="126"/>
      <c r="AP20" s="126"/>
      <c r="AQ20" s="126"/>
      <c r="AR20" s="126"/>
      <c r="AS20" s="126"/>
      <c r="AT20" s="126"/>
      <c r="AU20" s="126"/>
      <c r="AV20" s="126"/>
      <c r="AW20" s="126"/>
      <c r="AX20" s="126"/>
      <c r="AY20" s="126"/>
      <c r="AZ20" s="126"/>
      <c r="BA20" s="126"/>
      <c r="BB20" s="126"/>
      <c r="BC20" s="126"/>
      <c r="BD20" s="126"/>
      <c r="BE20" s="126"/>
    </row>
    <row r="21" s="126" customFormat="1" spans="1:9">
      <c r="A21" s="181"/>
      <c r="B21" s="182" t="s">
        <v>410</v>
      </c>
      <c r="C21" s="183"/>
      <c r="D21" s="184"/>
      <c r="E21" s="185"/>
      <c r="F21" s="185"/>
      <c r="G21" s="183"/>
      <c r="H21" s="186">
        <v>6</v>
      </c>
      <c r="I21" s="220"/>
    </row>
    <row r="22" spans="1:9">
      <c r="A22" s="187"/>
      <c r="B22" s="187"/>
      <c r="C22" s="188"/>
      <c r="D22" s="189"/>
      <c r="E22" s="187"/>
      <c r="F22" s="187"/>
      <c r="G22" s="190"/>
      <c r="H22" s="191"/>
      <c r="I22" s="187"/>
    </row>
    <row r="23" spans="1:9">
      <c r="A23" s="175" t="s">
        <v>41</v>
      </c>
      <c r="B23" s="176" t="s">
        <v>43</v>
      </c>
      <c r="C23" s="177" t="str">
        <f>VLOOKUP($A23,Planilha!$A$11:$I$39026,5,FALSE)</f>
        <v>m²</v>
      </c>
      <c r="D23" s="178" t="s">
        <v>405</v>
      </c>
      <c r="E23" s="179" t="s">
        <v>407</v>
      </c>
      <c r="F23" s="179" t="s">
        <v>406</v>
      </c>
      <c r="G23" s="179" t="s">
        <v>413</v>
      </c>
      <c r="H23" s="180" t="s">
        <v>409</v>
      </c>
      <c r="I23" s="219">
        <f>SUM(H24:H30)</f>
        <v>154.715</v>
      </c>
    </row>
    <row r="24" spans="1:9">
      <c r="A24" s="192"/>
      <c r="B24" s="193" t="s">
        <v>410</v>
      </c>
      <c r="C24" s="183" t="s">
        <v>414</v>
      </c>
      <c r="D24" s="194">
        <v>6</v>
      </c>
      <c r="E24" s="195">
        <v>1.1</v>
      </c>
      <c r="F24" s="195">
        <v>7.95</v>
      </c>
      <c r="G24" s="195">
        <v>0.8</v>
      </c>
      <c r="H24" s="196">
        <f t="shared" ref="H24:H30" si="0">((2*D24+2*F24-G24)*E24)</f>
        <v>29.81</v>
      </c>
      <c r="I24" s="219"/>
    </row>
    <row r="25" spans="1:9">
      <c r="A25" s="192"/>
      <c r="B25" s="193" t="s">
        <v>415</v>
      </c>
      <c r="C25" s="183" t="s">
        <v>416</v>
      </c>
      <c r="D25" s="194">
        <v>8</v>
      </c>
      <c r="E25" s="195">
        <v>1.1</v>
      </c>
      <c r="F25" s="195">
        <v>6</v>
      </c>
      <c r="G25" s="195">
        <v>0.8</v>
      </c>
      <c r="H25" s="196">
        <f>2*((2*D25+2*F25-G25)*E25)</f>
        <v>59.84</v>
      </c>
      <c r="I25" s="221"/>
    </row>
    <row r="26" spans="1:9">
      <c r="A26" s="187"/>
      <c r="B26" s="187" t="s">
        <v>417</v>
      </c>
      <c r="C26" s="183" t="s">
        <v>418</v>
      </c>
      <c r="D26" s="189">
        <v>6</v>
      </c>
      <c r="E26" s="197">
        <v>1.1</v>
      </c>
      <c r="F26" s="190">
        <v>7.05</v>
      </c>
      <c r="G26" s="190">
        <f>1.45+2.95+1.5</f>
        <v>5.9</v>
      </c>
      <c r="H26" s="196">
        <f t="shared" si="0"/>
        <v>22.22</v>
      </c>
      <c r="I26" s="187"/>
    </row>
    <row r="27" spans="1:9">
      <c r="A27" s="187"/>
      <c r="B27" s="187" t="s">
        <v>419</v>
      </c>
      <c r="C27" s="183" t="s">
        <v>420</v>
      </c>
      <c r="D27" s="189">
        <v>2.95</v>
      </c>
      <c r="E27" s="197">
        <v>1.1</v>
      </c>
      <c r="F27" s="190">
        <v>2.55</v>
      </c>
      <c r="G27" s="190">
        <v>5.4</v>
      </c>
      <c r="H27" s="196">
        <f t="shared" si="0"/>
        <v>6.16</v>
      </c>
      <c r="I27" s="187"/>
    </row>
    <row r="28" spans="1:9">
      <c r="A28" s="187"/>
      <c r="B28" s="187"/>
      <c r="C28" s="183" t="s">
        <v>421</v>
      </c>
      <c r="D28" s="189">
        <v>2.95</v>
      </c>
      <c r="E28" s="197">
        <v>1.1</v>
      </c>
      <c r="F28" s="197">
        <v>1.7</v>
      </c>
      <c r="G28" s="190">
        <f>1.15+1.6</f>
        <v>2.75</v>
      </c>
      <c r="H28" s="196">
        <f t="shared" si="0"/>
        <v>7.205</v>
      </c>
      <c r="I28" s="187"/>
    </row>
    <row r="29" spans="1:9">
      <c r="A29" s="187"/>
      <c r="B29" s="187"/>
      <c r="C29" s="183" t="s">
        <v>422</v>
      </c>
      <c r="D29" s="198">
        <v>3.9</v>
      </c>
      <c r="E29" s="199">
        <v>1.1</v>
      </c>
      <c r="F29" s="199">
        <v>2.6</v>
      </c>
      <c r="G29" s="199">
        <f>0.7+0.6</f>
        <v>1.3</v>
      </c>
      <c r="H29" s="200">
        <f>((2*D29+1*F29-G29)*E29)</f>
        <v>10.01</v>
      </c>
      <c r="I29" s="187"/>
    </row>
    <row r="30" spans="1:9">
      <c r="A30" s="187"/>
      <c r="B30" s="187"/>
      <c r="C30" s="183" t="s">
        <v>423</v>
      </c>
      <c r="D30" s="198">
        <v>3.8</v>
      </c>
      <c r="E30" s="199">
        <v>1.1</v>
      </c>
      <c r="F30" s="199">
        <v>5.85</v>
      </c>
      <c r="G30" s="199">
        <v>1.6</v>
      </c>
      <c r="H30" s="196">
        <f t="shared" si="0"/>
        <v>19.47</v>
      </c>
      <c r="I30" s="187"/>
    </row>
    <row r="31" spans="1:9">
      <c r="A31" s="187"/>
      <c r="B31" s="187"/>
      <c r="C31" s="201"/>
      <c r="D31" s="198"/>
      <c r="E31" s="202"/>
      <c r="F31" s="202"/>
      <c r="G31" s="199"/>
      <c r="H31" s="203"/>
      <c r="I31" s="187"/>
    </row>
    <row r="32" ht="25.5" spans="1:9">
      <c r="A32" s="175" t="s">
        <v>44</v>
      </c>
      <c r="B32" s="176" t="str">
        <f>VLOOKUP(A32,Planilha!$A$11:$I$39026,4,FALSE)</f>
        <v>Apicoamento de superfície com revestimento em argamassa</v>
      </c>
      <c r="C32" s="177" t="str">
        <f>VLOOKUP($A32,Planilha!$A$11:$I$39026,5,FALSE)</f>
        <v>m²</v>
      </c>
      <c r="D32" s="178" t="s">
        <v>405</v>
      </c>
      <c r="E32" s="179" t="s">
        <v>407</v>
      </c>
      <c r="F32" s="179" t="s">
        <v>406</v>
      </c>
      <c r="G32" s="179" t="s">
        <v>424</v>
      </c>
      <c r="H32" s="180" t="s">
        <v>409</v>
      </c>
      <c r="I32" s="219">
        <f>SUM(H33:H41)</f>
        <v>256.7075</v>
      </c>
    </row>
    <row r="33" spans="1:9">
      <c r="A33" s="192"/>
      <c r="B33" s="193" t="s">
        <v>410</v>
      </c>
      <c r="C33" s="183" t="s">
        <v>425</v>
      </c>
      <c r="D33" s="194">
        <v>6</v>
      </c>
      <c r="E33" s="195"/>
      <c r="F33" s="195">
        <v>7.95</v>
      </c>
      <c r="G33" s="195">
        <v>1</v>
      </c>
      <c r="H33" s="203">
        <f t="shared" ref="H33:H40" si="1">F33*D33*G33</f>
        <v>47.7</v>
      </c>
      <c r="I33" s="219"/>
    </row>
    <row r="34" spans="1:9">
      <c r="A34" s="192"/>
      <c r="B34" s="193"/>
      <c r="C34" s="183" t="s">
        <v>416</v>
      </c>
      <c r="D34" s="194">
        <v>8</v>
      </c>
      <c r="E34" s="195"/>
      <c r="F34" s="195">
        <v>6</v>
      </c>
      <c r="G34" s="195">
        <v>2</v>
      </c>
      <c r="H34" s="203">
        <f t="shared" si="1"/>
        <v>96</v>
      </c>
      <c r="I34" s="221"/>
    </row>
    <row r="35" spans="1:9">
      <c r="A35" s="192"/>
      <c r="B35" s="193"/>
      <c r="C35" s="183" t="s">
        <v>426</v>
      </c>
      <c r="D35" s="194">
        <v>8</v>
      </c>
      <c r="E35" s="195"/>
      <c r="F35" s="195">
        <v>4.5</v>
      </c>
      <c r="G35" s="195">
        <v>1</v>
      </c>
      <c r="H35" s="203">
        <f t="shared" si="1"/>
        <v>36</v>
      </c>
      <c r="I35" s="221"/>
    </row>
    <row r="36" spans="1:9">
      <c r="A36" s="187"/>
      <c r="B36" s="187"/>
      <c r="C36" s="183" t="s">
        <v>418</v>
      </c>
      <c r="D36" s="189">
        <v>6</v>
      </c>
      <c r="E36" s="187"/>
      <c r="F36" s="187">
        <v>7.05</v>
      </c>
      <c r="G36" s="190">
        <v>1</v>
      </c>
      <c r="H36" s="203">
        <f t="shared" si="1"/>
        <v>42.3</v>
      </c>
      <c r="I36" s="222"/>
    </row>
    <row r="37" spans="1:9">
      <c r="A37" s="187"/>
      <c r="B37" s="187"/>
      <c r="C37" s="183" t="s">
        <v>427</v>
      </c>
      <c r="D37" s="189">
        <v>1.1</v>
      </c>
      <c r="E37" s="187"/>
      <c r="F37" s="187">
        <v>1.1</v>
      </c>
      <c r="G37" s="190">
        <v>1</v>
      </c>
      <c r="H37" s="203">
        <f t="shared" si="1"/>
        <v>1.21</v>
      </c>
      <c r="I37" s="187"/>
    </row>
    <row r="38" spans="1:9">
      <c r="A38" s="187"/>
      <c r="B38" s="187"/>
      <c r="C38" s="183" t="s">
        <v>428</v>
      </c>
      <c r="D38" s="189">
        <v>8</v>
      </c>
      <c r="E38" s="187"/>
      <c r="F38" s="187">
        <v>1.65</v>
      </c>
      <c r="G38" s="190">
        <v>1</v>
      </c>
      <c r="H38" s="203">
        <f t="shared" si="1"/>
        <v>13.2</v>
      </c>
      <c r="I38" s="187"/>
    </row>
    <row r="39" spans="1:9">
      <c r="A39" s="187"/>
      <c r="B39" s="187"/>
      <c r="C39" s="183" t="s">
        <v>420</v>
      </c>
      <c r="D39" s="189">
        <v>2.95</v>
      </c>
      <c r="E39" s="187"/>
      <c r="F39" s="187">
        <v>2.55</v>
      </c>
      <c r="G39" s="190">
        <v>1</v>
      </c>
      <c r="H39" s="203">
        <f t="shared" si="1"/>
        <v>7.5225</v>
      </c>
      <c r="I39" s="187"/>
    </row>
    <row r="40" spans="1:9">
      <c r="A40" s="187"/>
      <c r="B40" s="187"/>
      <c r="C40" s="183" t="s">
        <v>421</v>
      </c>
      <c r="D40" s="189">
        <v>2.95</v>
      </c>
      <c r="E40" s="187"/>
      <c r="F40" s="187">
        <v>1.7</v>
      </c>
      <c r="G40" s="190">
        <v>1</v>
      </c>
      <c r="H40" s="203">
        <f t="shared" si="1"/>
        <v>5.015</v>
      </c>
      <c r="I40" s="187"/>
    </row>
    <row r="41" spans="1:9">
      <c r="A41" s="187"/>
      <c r="B41" s="187"/>
      <c r="C41" s="183" t="s">
        <v>429</v>
      </c>
      <c r="D41" s="204" t="s">
        <v>430</v>
      </c>
      <c r="E41" s="205"/>
      <c r="F41" s="205"/>
      <c r="G41" s="206"/>
      <c r="H41" s="207">
        <v>7.76</v>
      </c>
      <c r="I41" s="187"/>
    </row>
    <row r="42" spans="1:9">
      <c r="A42" s="187"/>
      <c r="B42" s="187"/>
      <c r="C42" s="183"/>
      <c r="D42" s="204"/>
      <c r="E42" s="205"/>
      <c r="F42" s="205"/>
      <c r="G42" s="206"/>
      <c r="H42" s="207"/>
      <c r="I42" s="187"/>
    </row>
    <row r="43" ht="25.5" spans="1:9">
      <c r="A43" s="175" t="s">
        <v>47</v>
      </c>
      <c r="B43" s="176" t="str">
        <f>VLOOKUP(A43,Planilha!$A$11:$I$39026,4,FALSE)</f>
        <v>Lixamento de parede com pintura antiga PVA para recebimento de nova camada de tinta</v>
      </c>
      <c r="C43" s="177" t="s">
        <v>28</v>
      </c>
      <c r="D43" s="178" t="s">
        <v>405</v>
      </c>
      <c r="E43" s="179" t="s">
        <v>407</v>
      </c>
      <c r="F43" s="179" t="s">
        <v>406</v>
      </c>
      <c r="G43" s="179" t="s">
        <v>431</v>
      </c>
      <c r="H43" s="180" t="s">
        <v>409</v>
      </c>
      <c r="I43" s="219">
        <f>SUM(H45:H63)</f>
        <v>658.545</v>
      </c>
    </row>
    <row r="44" s="127" customFormat="1" spans="1:16">
      <c r="A44" s="181"/>
      <c r="B44" s="208" t="s">
        <v>432</v>
      </c>
      <c r="C44" s="209"/>
      <c r="D44" s="184"/>
      <c r="E44" s="185"/>
      <c r="F44" s="185"/>
      <c r="G44" s="185"/>
      <c r="H44" s="200"/>
      <c r="I44" s="220"/>
      <c r="J44" s="129"/>
      <c r="K44" s="223"/>
      <c r="L44" s="224"/>
      <c r="M44" s="129"/>
      <c r="N44" s="129"/>
      <c r="O44" s="225"/>
      <c r="P44" s="226"/>
    </row>
    <row r="45" spans="1:16">
      <c r="A45" s="192"/>
      <c r="B45" s="193" t="s">
        <v>410</v>
      </c>
      <c r="C45" s="201" t="s">
        <v>414</v>
      </c>
      <c r="D45" s="194">
        <v>6</v>
      </c>
      <c r="E45" s="195">
        <v>1.8</v>
      </c>
      <c r="F45" s="195">
        <v>7.95</v>
      </c>
      <c r="G45" s="195">
        <f>3*(1.2*1.8-2)</f>
        <v>0.48</v>
      </c>
      <c r="H45" s="203">
        <f>((2*D45+2*F45)*E45)-G45</f>
        <v>49.74</v>
      </c>
      <c r="I45" s="219"/>
      <c r="J45" s="129"/>
      <c r="K45" s="223"/>
      <c r="L45" s="224"/>
      <c r="M45" s="129"/>
      <c r="N45" s="129"/>
      <c r="O45" s="225"/>
      <c r="P45" s="226"/>
    </row>
    <row r="46" spans="1:16">
      <c r="A46" s="192"/>
      <c r="B46" s="193" t="s">
        <v>415</v>
      </c>
      <c r="C46" s="201" t="s">
        <v>416</v>
      </c>
      <c r="D46" s="194">
        <v>8</v>
      </c>
      <c r="E46" s="195">
        <v>1.8</v>
      </c>
      <c r="F46" s="195">
        <v>6</v>
      </c>
      <c r="G46" s="195">
        <f>4*(1.2*1.8-2)</f>
        <v>0.640000000000001</v>
      </c>
      <c r="H46" s="203">
        <f t="shared" ref="H46:H51" si="2">((2*D46+2*F46)*E46)-G46</f>
        <v>49.76</v>
      </c>
      <c r="I46" s="221"/>
      <c r="J46" s="129"/>
      <c r="K46" s="223"/>
      <c r="L46" s="224"/>
      <c r="M46" s="129"/>
      <c r="N46" s="129"/>
      <c r="O46" s="225"/>
      <c r="P46" s="226"/>
    </row>
    <row r="47" spans="1:16">
      <c r="A47" s="187"/>
      <c r="B47" s="187" t="s">
        <v>433</v>
      </c>
      <c r="C47" s="188" t="s">
        <v>418</v>
      </c>
      <c r="D47" s="189">
        <v>6</v>
      </c>
      <c r="E47" s="195">
        <v>1.8</v>
      </c>
      <c r="F47" s="187">
        <v>7.05</v>
      </c>
      <c r="G47" s="190">
        <f>(6*1.8-2+7.05*1.8-2+2.95*1.8-2)</f>
        <v>22.8</v>
      </c>
      <c r="H47" s="203">
        <f t="shared" si="2"/>
        <v>24.18</v>
      </c>
      <c r="I47" s="187"/>
      <c r="J47" s="129"/>
      <c r="K47" s="223"/>
      <c r="L47" s="224"/>
      <c r="M47" s="129"/>
      <c r="N47" s="129"/>
      <c r="O47" s="225"/>
      <c r="P47" s="226"/>
    </row>
    <row r="48" spans="1:16">
      <c r="A48" s="187"/>
      <c r="B48" s="187" t="s">
        <v>419</v>
      </c>
      <c r="C48" s="188" t="s">
        <v>420</v>
      </c>
      <c r="D48" s="189">
        <v>2.95</v>
      </c>
      <c r="E48" s="195">
        <v>1.8</v>
      </c>
      <c r="F48" s="187">
        <v>2.55</v>
      </c>
      <c r="G48" s="190">
        <f>(2.95*1.8-2+1.15*1.8-2)</f>
        <v>3.38</v>
      </c>
      <c r="H48" s="203">
        <f t="shared" si="2"/>
        <v>16.42</v>
      </c>
      <c r="I48" s="187"/>
      <c r="J48" s="129"/>
      <c r="K48" s="223"/>
      <c r="L48" s="224"/>
      <c r="M48" s="129"/>
      <c r="N48" s="129"/>
      <c r="O48" s="225"/>
      <c r="P48" s="226"/>
    </row>
    <row r="49" spans="1:16">
      <c r="A49" s="187"/>
      <c r="B49" s="187"/>
      <c r="C49" s="188" t="s">
        <v>421</v>
      </c>
      <c r="D49" s="189">
        <v>2.95</v>
      </c>
      <c r="E49" s="195">
        <v>1.8</v>
      </c>
      <c r="F49" s="210">
        <v>1.7</v>
      </c>
      <c r="G49" s="190">
        <f>1.15*1.8-2</f>
        <v>0.0699999999999998</v>
      </c>
      <c r="H49" s="203">
        <f t="shared" si="2"/>
        <v>16.67</v>
      </c>
      <c r="I49" s="191"/>
      <c r="J49" s="129"/>
      <c r="K49" s="223"/>
      <c r="L49" s="224"/>
      <c r="M49" s="129"/>
      <c r="N49" s="129"/>
      <c r="O49" s="225"/>
      <c r="P49" s="226"/>
    </row>
    <row r="50" spans="1:16">
      <c r="A50" s="187"/>
      <c r="B50" s="187"/>
      <c r="C50" s="183" t="s">
        <v>422</v>
      </c>
      <c r="D50" s="198">
        <v>3.9</v>
      </c>
      <c r="E50" s="185">
        <v>1.8</v>
      </c>
      <c r="F50" s="202">
        <v>2.6</v>
      </c>
      <c r="G50" s="199"/>
      <c r="H50" s="186">
        <f>((2*D50+1*F50)*E50)-G50</f>
        <v>18.72</v>
      </c>
      <c r="I50" s="187"/>
      <c r="J50" s="129"/>
      <c r="K50" s="223"/>
      <c r="L50" s="224"/>
      <c r="M50" s="129"/>
      <c r="N50" s="129"/>
      <c r="O50" s="225"/>
      <c r="P50" s="226"/>
    </row>
    <row r="51" spans="1:16">
      <c r="A51" s="187"/>
      <c r="B51" s="187"/>
      <c r="C51" s="183" t="s">
        <v>423</v>
      </c>
      <c r="D51" s="198">
        <v>3.8</v>
      </c>
      <c r="E51" s="185">
        <v>1.8</v>
      </c>
      <c r="F51" s="202">
        <v>5.85</v>
      </c>
      <c r="G51" s="199"/>
      <c r="H51" s="203">
        <f t="shared" si="2"/>
        <v>34.74</v>
      </c>
      <c r="I51" s="187"/>
      <c r="J51" s="129"/>
      <c r="K51" s="223"/>
      <c r="L51" s="224"/>
      <c r="M51" s="129"/>
      <c r="N51" s="129"/>
      <c r="O51" s="225"/>
      <c r="P51" s="226"/>
    </row>
    <row r="52" spans="1:16">
      <c r="A52" s="181"/>
      <c r="B52" s="208" t="s">
        <v>434</v>
      </c>
      <c r="C52" s="209"/>
      <c r="D52" s="184"/>
      <c r="E52" s="185"/>
      <c r="F52" s="185"/>
      <c r="G52" s="185"/>
      <c r="H52" s="200"/>
      <c r="I52" s="220"/>
      <c r="J52" s="129"/>
      <c r="K52" s="223"/>
      <c r="L52" s="224"/>
      <c r="M52" s="129"/>
      <c r="N52" s="129"/>
      <c r="O52" s="225"/>
      <c r="P52" s="226"/>
    </row>
    <row r="53" spans="1:16">
      <c r="A53" s="187"/>
      <c r="B53" s="187"/>
      <c r="C53" s="188"/>
      <c r="D53" s="189" t="s">
        <v>435</v>
      </c>
      <c r="E53" s="187" t="s">
        <v>436</v>
      </c>
      <c r="F53" s="187" t="s">
        <v>437</v>
      </c>
      <c r="G53" s="190" t="s">
        <v>438</v>
      </c>
      <c r="H53" s="191"/>
      <c r="I53" s="187"/>
      <c r="J53" s="129"/>
      <c r="K53" s="223"/>
      <c r="L53" s="227"/>
      <c r="M53" s="228"/>
      <c r="N53" s="228"/>
      <c r="O53" s="225"/>
      <c r="P53" s="226"/>
    </row>
    <row r="54" spans="1:16">
      <c r="A54" s="187"/>
      <c r="B54" s="187" t="s">
        <v>433</v>
      </c>
      <c r="C54" s="188" t="s">
        <v>439</v>
      </c>
      <c r="D54" s="189">
        <f>8.25+11.4</f>
        <v>19.65</v>
      </c>
      <c r="E54" s="187">
        <v>3.3</v>
      </c>
      <c r="F54" s="187"/>
      <c r="G54" s="190">
        <f>(1.2*1.8-2)*3</f>
        <v>0.48</v>
      </c>
      <c r="H54" s="191">
        <f>D54*E54-G54</f>
        <v>64.365</v>
      </c>
      <c r="I54" s="191"/>
      <c r="J54" s="129"/>
      <c r="K54" s="223"/>
      <c r="L54" s="227"/>
      <c r="M54" s="228"/>
      <c r="N54" s="228"/>
      <c r="O54" s="225"/>
      <c r="P54" s="226"/>
    </row>
    <row r="55" spans="1:16">
      <c r="A55" s="187"/>
      <c r="B55" s="187" t="s">
        <v>419</v>
      </c>
      <c r="C55" s="188" t="s">
        <v>440</v>
      </c>
      <c r="D55" s="189">
        <v>8.15</v>
      </c>
      <c r="E55" s="187">
        <v>5.6</v>
      </c>
      <c r="F55" s="187"/>
      <c r="G55" s="190">
        <v>0</v>
      </c>
      <c r="H55" s="191">
        <f>D55*E55-G55</f>
        <v>45.64</v>
      </c>
      <c r="I55" s="187"/>
      <c r="J55" s="129"/>
      <c r="K55" s="223"/>
      <c r="L55" s="227"/>
      <c r="M55" s="228"/>
      <c r="N55" s="228"/>
      <c r="O55" s="228"/>
      <c r="P55" s="229"/>
    </row>
    <row r="56" spans="1:16">
      <c r="A56" s="187"/>
      <c r="B56" s="187"/>
      <c r="C56" s="188" t="s">
        <v>441</v>
      </c>
      <c r="D56" s="189"/>
      <c r="E56" s="187"/>
      <c r="F56" s="187">
        <v>54.21</v>
      </c>
      <c r="G56" s="190"/>
      <c r="H56" s="191">
        <f t="shared" ref="H56:H59" si="3">F56-G56</f>
        <v>54.21</v>
      </c>
      <c r="I56" s="191"/>
      <c r="J56" s="129"/>
      <c r="K56" s="223"/>
      <c r="L56" s="227"/>
      <c r="M56" s="228"/>
      <c r="N56" s="228"/>
      <c r="O56" s="228"/>
      <c r="P56" s="229"/>
    </row>
    <row r="57" s="127" customFormat="1" spans="1:16">
      <c r="A57" s="211"/>
      <c r="B57" s="211"/>
      <c r="C57" s="183" t="s">
        <v>442</v>
      </c>
      <c r="D57" s="198"/>
      <c r="E57" s="211"/>
      <c r="F57" s="211">
        <v>37.88</v>
      </c>
      <c r="G57" s="212"/>
      <c r="H57" s="207">
        <f>F57</f>
        <v>37.88</v>
      </c>
      <c r="I57" s="211"/>
      <c r="J57" s="129"/>
      <c r="K57" s="223"/>
      <c r="L57" s="224"/>
      <c r="M57" s="228"/>
      <c r="N57" s="129"/>
      <c r="O57" s="225"/>
      <c r="P57" s="229"/>
    </row>
    <row r="58" spans="1:16">
      <c r="A58" s="187"/>
      <c r="B58" s="187"/>
      <c r="C58" s="188" t="s">
        <v>443</v>
      </c>
      <c r="D58" s="189"/>
      <c r="E58" s="187"/>
      <c r="F58" s="187">
        <v>24.03</v>
      </c>
      <c r="G58" s="190">
        <v>0</v>
      </c>
      <c r="H58" s="191">
        <f t="shared" si="3"/>
        <v>24.03</v>
      </c>
      <c r="I58" s="187"/>
      <c r="J58" s="129"/>
      <c r="K58" s="223"/>
      <c r="L58" s="224"/>
      <c r="M58" s="228"/>
      <c r="N58" s="129"/>
      <c r="O58" s="225"/>
      <c r="P58" s="229"/>
    </row>
    <row r="59" spans="1:16">
      <c r="A59" s="187"/>
      <c r="B59" s="187"/>
      <c r="C59" s="188" t="s">
        <v>444</v>
      </c>
      <c r="D59" s="189"/>
      <c r="E59" s="187"/>
      <c r="F59" s="187">
        <v>27.1</v>
      </c>
      <c r="G59" s="190">
        <f>4.45*1.6-2+1.5*2.7-2</f>
        <v>7.17</v>
      </c>
      <c r="H59" s="191">
        <f t="shared" si="3"/>
        <v>19.93</v>
      </c>
      <c r="I59" s="187"/>
      <c r="J59" s="129"/>
      <c r="K59" s="223"/>
      <c r="L59" s="224"/>
      <c r="M59" s="228"/>
      <c r="N59" s="230"/>
      <c r="O59" s="225"/>
      <c r="P59" s="229"/>
    </row>
    <row r="60" spans="1:16">
      <c r="A60" s="187"/>
      <c r="B60" s="187"/>
      <c r="C60" s="188" t="s">
        <v>445</v>
      </c>
      <c r="D60" s="189">
        <f>4.15+19.55</f>
        <v>23.7</v>
      </c>
      <c r="E60" s="187">
        <v>3.3</v>
      </c>
      <c r="F60" s="187"/>
      <c r="G60" s="190">
        <f>10*(1.2*1.8-2)</f>
        <v>1.6</v>
      </c>
      <c r="H60" s="191">
        <f>D60*E60-G60</f>
        <v>76.61</v>
      </c>
      <c r="I60" s="187"/>
      <c r="J60" s="129"/>
      <c r="K60" s="223"/>
      <c r="L60" s="224"/>
      <c r="M60" s="228"/>
      <c r="N60" s="231"/>
      <c r="O60" s="232"/>
      <c r="P60" s="229"/>
    </row>
    <row r="61" spans="1:16">
      <c r="A61" s="187"/>
      <c r="B61" s="187"/>
      <c r="C61" s="188" t="s">
        <v>446</v>
      </c>
      <c r="D61" s="189"/>
      <c r="E61" s="187"/>
      <c r="F61" s="187">
        <v>10.3</v>
      </c>
      <c r="G61" s="190">
        <v>0</v>
      </c>
      <c r="H61" s="191">
        <f>F61-G61</f>
        <v>10.3</v>
      </c>
      <c r="I61" s="187"/>
      <c r="J61" s="129"/>
      <c r="K61" s="223"/>
      <c r="L61" s="224"/>
      <c r="M61" s="228"/>
      <c r="N61" s="231"/>
      <c r="O61" s="232"/>
      <c r="P61" s="229"/>
    </row>
    <row r="62" spans="1:16">
      <c r="A62" s="187"/>
      <c r="B62" s="187"/>
      <c r="C62" s="188"/>
      <c r="D62" s="189"/>
      <c r="E62" s="187"/>
      <c r="F62" s="187"/>
      <c r="G62" s="190"/>
      <c r="H62" s="191"/>
      <c r="I62" s="187"/>
      <c r="J62" s="129"/>
      <c r="K62" s="223"/>
      <c r="L62" s="227"/>
      <c r="M62" s="228"/>
      <c r="N62" s="228"/>
      <c r="O62" s="225"/>
      <c r="P62" s="229"/>
    </row>
    <row r="63" ht="30" spans="1:16">
      <c r="A63" s="187"/>
      <c r="B63" s="187" t="s">
        <v>447</v>
      </c>
      <c r="C63" s="188" t="s">
        <v>448</v>
      </c>
      <c r="D63" s="189" t="s">
        <v>449</v>
      </c>
      <c r="E63" s="187"/>
      <c r="F63" s="187"/>
      <c r="G63" s="190"/>
      <c r="H63" s="191">
        <f>H412</f>
        <v>115.35</v>
      </c>
      <c r="I63" s="187"/>
      <c r="J63" s="129"/>
      <c r="K63" s="223"/>
      <c r="L63" s="227"/>
      <c r="M63" s="228"/>
      <c r="N63" s="228"/>
      <c r="O63" s="225"/>
      <c r="P63" s="229"/>
    </row>
    <row r="64" spans="1:16">
      <c r="A64" s="187"/>
      <c r="B64" s="187"/>
      <c r="C64" s="188"/>
      <c r="D64" s="189"/>
      <c r="E64" s="187"/>
      <c r="F64" s="187"/>
      <c r="G64" s="190"/>
      <c r="H64" s="191"/>
      <c r="I64" s="187"/>
      <c r="J64" s="129"/>
      <c r="K64" s="223"/>
      <c r="L64" s="227"/>
      <c r="M64" s="228"/>
      <c r="N64" s="228"/>
      <c r="O64" s="225"/>
      <c r="P64" s="229"/>
    </row>
    <row r="65" ht="25.5" spans="1:9">
      <c r="A65" s="175" t="s">
        <v>50</v>
      </c>
      <c r="B65" s="176" t="str">
        <f>VLOOKUP(A65,Planilha!$A$11:$I$39026,4,FALSE)</f>
        <v>Retirada de portas e janelas de madeira, inclusive batentes</v>
      </c>
      <c r="C65" s="177" t="str">
        <f>VLOOKUP($A65,Planilha!$A$11:$I$39026,5,FALSE)</f>
        <v>m²</v>
      </c>
      <c r="D65" s="178" t="s">
        <v>450</v>
      </c>
      <c r="E65" s="179" t="s">
        <v>451</v>
      </c>
      <c r="F65" s="179" t="s">
        <v>406</v>
      </c>
      <c r="G65" s="179" t="s">
        <v>452</v>
      </c>
      <c r="H65" s="180" t="s">
        <v>409</v>
      </c>
      <c r="I65" s="219">
        <f>SUM(H66:H71)</f>
        <v>43.56</v>
      </c>
    </row>
    <row r="66" spans="1:9">
      <c r="A66" s="192"/>
      <c r="B66" s="193" t="s">
        <v>410</v>
      </c>
      <c r="C66" s="183" t="s">
        <v>414</v>
      </c>
      <c r="D66" s="194">
        <f>3*1.8*1.2</f>
        <v>6.48</v>
      </c>
      <c r="E66" s="195">
        <f>1*0.8*2.1</f>
        <v>1.68</v>
      </c>
      <c r="F66" s="195"/>
      <c r="G66" s="212">
        <v>1</v>
      </c>
      <c r="H66" s="203">
        <f t="shared" ref="H66:H72" si="4">SUM(D66:E66)*G66</f>
        <v>8.16</v>
      </c>
      <c r="I66" s="219"/>
    </row>
    <row r="67" spans="1:9">
      <c r="A67" s="192"/>
      <c r="B67" s="193" t="s">
        <v>415</v>
      </c>
      <c r="C67" s="183" t="s">
        <v>416</v>
      </c>
      <c r="D67" s="194">
        <f>4*1.8*1.2</f>
        <v>8.64</v>
      </c>
      <c r="E67" s="195">
        <f>1*0.8*2.1</f>
        <v>1.68</v>
      </c>
      <c r="F67" s="195"/>
      <c r="G67" s="212">
        <v>2</v>
      </c>
      <c r="H67" s="203">
        <f t="shared" si="4"/>
        <v>20.64</v>
      </c>
      <c r="I67" s="221"/>
    </row>
    <row r="68" spans="1:9">
      <c r="A68" s="187"/>
      <c r="B68" s="187"/>
      <c r="C68" s="183" t="s">
        <v>453</v>
      </c>
      <c r="D68" s="198">
        <v>0</v>
      </c>
      <c r="E68" s="185">
        <f>0.8*2.1</f>
        <v>1.68</v>
      </c>
      <c r="F68" s="233"/>
      <c r="G68" s="212">
        <v>2</v>
      </c>
      <c r="H68" s="186">
        <f t="shared" si="4"/>
        <v>3.36</v>
      </c>
      <c r="I68" s="187"/>
    </row>
    <row r="69" spans="1:9">
      <c r="A69" s="187"/>
      <c r="B69" s="187"/>
      <c r="C69" s="183" t="s">
        <v>454</v>
      </c>
      <c r="D69" s="198">
        <f>1.8*1.2</f>
        <v>2.16</v>
      </c>
      <c r="E69" s="185">
        <f>0.6*2.1+0.7*2.1</f>
        <v>2.73</v>
      </c>
      <c r="F69" s="202"/>
      <c r="G69" s="212">
        <v>1</v>
      </c>
      <c r="H69" s="186">
        <f t="shared" si="4"/>
        <v>4.89</v>
      </c>
      <c r="I69" s="187"/>
    </row>
    <row r="70" spans="1:9">
      <c r="A70" s="187"/>
      <c r="B70" s="187"/>
      <c r="C70" s="183" t="s">
        <v>423</v>
      </c>
      <c r="D70" s="198">
        <f>0</f>
        <v>0</v>
      </c>
      <c r="E70" s="185">
        <f>0.8*2.1+0.8*2.1</f>
        <v>3.36</v>
      </c>
      <c r="F70" s="202"/>
      <c r="G70" s="212">
        <v>1</v>
      </c>
      <c r="H70" s="203">
        <f t="shared" si="4"/>
        <v>3.36</v>
      </c>
      <c r="I70" s="187"/>
    </row>
    <row r="71" spans="1:9">
      <c r="A71" s="187"/>
      <c r="B71" s="187"/>
      <c r="C71" s="183" t="s">
        <v>455</v>
      </c>
      <c r="D71" s="198">
        <v>0</v>
      </c>
      <c r="E71" s="211">
        <v>3.15</v>
      </c>
      <c r="F71" s="211"/>
      <c r="G71" s="212">
        <v>1</v>
      </c>
      <c r="H71" s="186">
        <f t="shared" si="4"/>
        <v>3.15</v>
      </c>
      <c r="I71" s="187"/>
    </row>
    <row r="72" spans="1:9">
      <c r="A72" s="187"/>
      <c r="B72" s="187"/>
      <c r="C72" s="188"/>
      <c r="D72" s="189"/>
      <c r="E72" s="187"/>
      <c r="F72" s="187"/>
      <c r="G72" s="190"/>
      <c r="H72" s="191"/>
      <c r="I72" s="187"/>
    </row>
    <row r="73" spans="1:9">
      <c r="A73" s="175" t="s">
        <v>53</v>
      </c>
      <c r="B73" s="176" t="str">
        <f>VLOOKUP(A73,Planilha!$A$11:$I$39026,4,FALSE)</f>
        <v>Retirada de esquadrias metálicas</v>
      </c>
      <c r="C73" s="177" t="str">
        <f>VLOOKUP($A73,Planilha!$A$11:$I$39026,5,FALSE)</f>
        <v>m²</v>
      </c>
      <c r="D73" s="178" t="s">
        <v>450</v>
      </c>
      <c r="E73" s="179" t="s">
        <v>451</v>
      </c>
      <c r="F73" s="179" t="s">
        <v>406</v>
      </c>
      <c r="G73" s="179" t="s">
        <v>452</v>
      </c>
      <c r="H73" s="180" t="s">
        <v>409</v>
      </c>
      <c r="I73" s="219">
        <f>SUM(H74:H77)</f>
        <v>3.6</v>
      </c>
    </row>
    <row r="74" spans="1:9">
      <c r="A74" s="187"/>
      <c r="B74" s="193" t="s">
        <v>410</v>
      </c>
      <c r="C74" s="183" t="s">
        <v>453</v>
      </c>
      <c r="D74" s="198">
        <v>0.36</v>
      </c>
      <c r="E74" s="211">
        <v>0</v>
      </c>
      <c r="F74" s="233"/>
      <c r="G74" s="234">
        <v>2</v>
      </c>
      <c r="H74" s="186">
        <f>SUM(D74:E74)*G74</f>
        <v>0.72</v>
      </c>
      <c r="I74" s="187"/>
    </row>
    <row r="75" spans="1:9">
      <c r="A75" s="187"/>
      <c r="B75" s="187"/>
      <c r="C75" s="183" t="s">
        <v>455</v>
      </c>
      <c r="D75" s="198">
        <f>1.6*0.6+0.6*0.6</f>
        <v>1.32</v>
      </c>
      <c r="E75" s="211">
        <v>0</v>
      </c>
      <c r="F75" s="211"/>
      <c r="G75" s="212">
        <v>1</v>
      </c>
      <c r="H75" s="186">
        <f>SUM(D75:E75)*G75</f>
        <v>1.32</v>
      </c>
      <c r="I75" s="187"/>
    </row>
    <row r="76" spans="1:9">
      <c r="A76" s="187"/>
      <c r="B76" s="187"/>
      <c r="C76" s="183" t="s">
        <v>423</v>
      </c>
      <c r="D76" s="198">
        <f>1.2*1</f>
        <v>1.2</v>
      </c>
      <c r="E76" s="211"/>
      <c r="F76" s="211"/>
      <c r="G76" s="212">
        <v>1</v>
      </c>
      <c r="H76" s="186">
        <f>SUM(D76:E76)*G76</f>
        <v>1.2</v>
      </c>
      <c r="I76" s="187"/>
    </row>
    <row r="77" spans="1:9">
      <c r="A77" s="187"/>
      <c r="B77" s="187"/>
      <c r="C77" s="188" t="s">
        <v>456</v>
      </c>
      <c r="D77" s="189">
        <f>0.6*0.6</f>
        <v>0.36</v>
      </c>
      <c r="E77" s="187">
        <v>0</v>
      </c>
      <c r="F77" s="187"/>
      <c r="G77" s="190">
        <v>1</v>
      </c>
      <c r="H77" s="203">
        <f>SUM(D77:E77)*G77</f>
        <v>0.36</v>
      </c>
      <c r="I77" s="187"/>
    </row>
    <row r="78" spans="1:9">
      <c r="A78" s="187"/>
      <c r="B78" s="187"/>
      <c r="C78" s="188"/>
      <c r="D78" s="189"/>
      <c r="E78" s="187"/>
      <c r="F78" s="187"/>
      <c r="G78" s="190"/>
      <c r="H78" s="191"/>
      <c r="I78" s="187"/>
    </row>
    <row r="79" ht="25.5" spans="1:9">
      <c r="A79" s="175" t="s">
        <v>56</v>
      </c>
      <c r="B79" s="176" t="s">
        <v>58</v>
      </c>
      <c r="C79" s="177" t="str">
        <f>VLOOKUP($A79,Planilha!$A$11:$I$39026,5,FALSE)</f>
        <v>und</v>
      </c>
      <c r="D79" s="178" t="s">
        <v>405</v>
      </c>
      <c r="E79" s="179" t="s">
        <v>407</v>
      </c>
      <c r="F79" s="179" t="s">
        <v>406</v>
      </c>
      <c r="G79" s="179" t="s">
        <v>408</v>
      </c>
      <c r="H79" s="180" t="s">
        <v>457</v>
      </c>
      <c r="I79" s="219">
        <f>SUM(H80:H89)</f>
        <v>76</v>
      </c>
    </row>
    <row r="80" spans="1:9">
      <c r="A80" s="192"/>
      <c r="B80" s="193" t="s">
        <v>410</v>
      </c>
      <c r="C80" s="183" t="s">
        <v>414</v>
      </c>
      <c r="D80" s="194"/>
      <c r="E80" s="195"/>
      <c r="F80" s="195"/>
      <c r="G80" s="190">
        <v>12</v>
      </c>
      <c r="H80" s="203">
        <f>G80</f>
        <v>12</v>
      </c>
      <c r="I80" s="219"/>
    </row>
    <row r="81" spans="1:9">
      <c r="A81" s="192"/>
      <c r="B81" s="193" t="s">
        <v>415</v>
      </c>
      <c r="C81" s="183" t="s">
        <v>416</v>
      </c>
      <c r="D81" s="194"/>
      <c r="E81" s="195"/>
      <c r="F81" s="195"/>
      <c r="G81" s="190">
        <v>26</v>
      </c>
      <c r="H81" s="203">
        <f t="shared" ref="H81:H89" si="5">G81</f>
        <v>26</v>
      </c>
      <c r="I81" s="221"/>
    </row>
    <row r="82" spans="1:9">
      <c r="A82" s="187"/>
      <c r="B82" s="187" t="s">
        <v>433</v>
      </c>
      <c r="C82" s="183" t="s">
        <v>418</v>
      </c>
      <c r="D82" s="198"/>
      <c r="E82" s="185"/>
      <c r="F82" s="211"/>
      <c r="G82" s="212">
        <v>6</v>
      </c>
      <c r="H82" s="203">
        <f t="shared" si="5"/>
        <v>6</v>
      </c>
      <c r="I82" s="187"/>
    </row>
    <row r="83" spans="1:9">
      <c r="A83" s="187"/>
      <c r="B83" s="187" t="s">
        <v>419</v>
      </c>
      <c r="C83" s="183" t="s">
        <v>420</v>
      </c>
      <c r="D83" s="189"/>
      <c r="E83" s="195"/>
      <c r="F83" s="187"/>
      <c r="G83" s="190">
        <v>2</v>
      </c>
      <c r="H83" s="203">
        <f t="shared" si="5"/>
        <v>2</v>
      </c>
      <c r="I83" s="187"/>
    </row>
    <row r="84" spans="1:9">
      <c r="A84" s="187"/>
      <c r="B84" s="187"/>
      <c r="C84" s="183" t="s">
        <v>453</v>
      </c>
      <c r="D84" s="189"/>
      <c r="E84" s="195"/>
      <c r="F84" s="210"/>
      <c r="G84" s="190">
        <v>4</v>
      </c>
      <c r="H84" s="203">
        <f t="shared" si="5"/>
        <v>4</v>
      </c>
      <c r="I84" s="187"/>
    </row>
    <row r="85" spans="1:9">
      <c r="A85" s="187"/>
      <c r="B85" s="187"/>
      <c r="C85" s="183" t="s">
        <v>422</v>
      </c>
      <c r="D85" s="198"/>
      <c r="E85" s="185"/>
      <c r="F85" s="202"/>
      <c r="G85" s="212">
        <v>7</v>
      </c>
      <c r="H85" s="203">
        <f t="shared" si="5"/>
        <v>7</v>
      </c>
      <c r="I85" s="187"/>
    </row>
    <row r="86" spans="1:9">
      <c r="A86" s="187"/>
      <c r="B86" s="187"/>
      <c r="C86" s="183" t="s">
        <v>456</v>
      </c>
      <c r="D86" s="198"/>
      <c r="E86" s="185"/>
      <c r="F86" s="202"/>
      <c r="G86" s="212">
        <v>3</v>
      </c>
      <c r="H86" s="203">
        <f t="shared" si="5"/>
        <v>3</v>
      </c>
      <c r="I86" s="187"/>
    </row>
    <row r="87" spans="1:9">
      <c r="A87" s="187"/>
      <c r="B87" s="187"/>
      <c r="C87" s="183" t="s">
        <v>423</v>
      </c>
      <c r="D87" s="198"/>
      <c r="E87" s="185"/>
      <c r="F87" s="202"/>
      <c r="G87" s="212">
        <v>5</v>
      </c>
      <c r="H87" s="203">
        <f t="shared" si="5"/>
        <v>5</v>
      </c>
      <c r="I87" s="187"/>
    </row>
    <row r="88" spans="1:9">
      <c r="A88" s="187"/>
      <c r="B88" s="187"/>
      <c r="C88" s="183" t="s">
        <v>428</v>
      </c>
      <c r="D88" s="198"/>
      <c r="E88" s="211"/>
      <c r="F88" s="211"/>
      <c r="G88" s="212">
        <v>3</v>
      </c>
      <c r="H88" s="203">
        <f t="shared" si="5"/>
        <v>3</v>
      </c>
      <c r="I88" s="187"/>
    </row>
    <row r="89" spans="1:9">
      <c r="A89" s="187"/>
      <c r="B89" s="187"/>
      <c r="C89" s="183" t="s">
        <v>458</v>
      </c>
      <c r="D89" s="198"/>
      <c r="E89" s="211"/>
      <c r="F89" s="211"/>
      <c r="G89" s="212">
        <v>8</v>
      </c>
      <c r="H89" s="203">
        <f t="shared" si="5"/>
        <v>8</v>
      </c>
      <c r="I89" s="187"/>
    </row>
    <row r="90" spans="1:9">
      <c r="A90" s="187"/>
      <c r="B90" s="187"/>
      <c r="C90" s="188"/>
      <c r="D90" s="189"/>
      <c r="E90" s="187"/>
      <c r="F90" s="187"/>
      <c r="G90" s="190"/>
      <c r="H90" s="191"/>
      <c r="I90" s="187"/>
    </row>
    <row r="91" s="127" customFormat="1" ht="25.5" spans="1:9">
      <c r="A91" s="235" t="s">
        <v>60</v>
      </c>
      <c r="B91" s="236" t="str">
        <f>VLOOKUP(A91,Planilha!$A$11:$I$39026,4,FALSE)</f>
        <v>Remoção de pintura antiga a base de óleo ou esmalte sobre esquadrias</v>
      </c>
      <c r="C91" s="237" t="str">
        <f>VLOOKUP($A91,Planilha!$A$11:$I$39026,5,FALSE)</f>
        <v>m²</v>
      </c>
      <c r="D91" s="238" t="s">
        <v>459</v>
      </c>
      <c r="E91" s="239" t="s">
        <v>460</v>
      </c>
      <c r="F91" s="239" t="s">
        <v>406</v>
      </c>
      <c r="G91" s="239" t="s">
        <v>408</v>
      </c>
      <c r="H91" s="240" t="s">
        <v>409</v>
      </c>
      <c r="I91" s="242">
        <f>SUM(H92:H94)</f>
        <v>41.33</v>
      </c>
    </row>
    <row r="92" s="127" customFormat="1" spans="1:9">
      <c r="A92" s="181"/>
      <c r="B92" s="182" t="s">
        <v>410</v>
      </c>
      <c r="C92" s="183" t="s">
        <v>418</v>
      </c>
      <c r="D92" s="184">
        <f>(4.45)*1.6</f>
        <v>7.12</v>
      </c>
      <c r="E92" s="185">
        <f>1.5*2.7</f>
        <v>4.05</v>
      </c>
      <c r="F92" s="185"/>
      <c r="G92" s="212">
        <v>1</v>
      </c>
      <c r="H92" s="186">
        <f>SUM(D92:E92)*G92</f>
        <v>11.17</v>
      </c>
      <c r="I92" s="220"/>
    </row>
    <row r="93" s="127" customFormat="1" spans="1:9">
      <c r="A93" s="181"/>
      <c r="B93" s="182"/>
      <c r="C93" s="183" t="s">
        <v>461</v>
      </c>
      <c r="D93" s="184">
        <f>1.6*2.2</f>
        <v>3.52</v>
      </c>
      <c r="E93" s="185"/>
      <c r="F93" s="185"/>
      <c r="G93" s="212">
        <v>8</v>
      </c>
      <c r="H93" s="186">
        <f>SUM(D93:E93)*G93</f>
        <v>28.16</v>
      </c>
      <c r="I93" s="243"/>
    </row>
    <row r="94" s="127" customFormat="1" spans="1:9">
      <c r="A94" s="211"/>
      <c r="B94" s="211"/>
      <c r="C94" s="183" t="s">
        <v>462</v>
      </c>
      <c r="D94" s="198">
        <f>1*1</f>
        <v>1</v>
      </c>
      <c r="E94" s="185"/>
      <c r="F94" s="211"/>
      <c r="G94" s="212">
        <v>2</v>
      </c>
      <c r="H94" s="186">
        <f>SUM(D94:E94)*G94</f>
        <v>2</v>
      </c>
      <c r="I94" s="211"/>
    </row>
    <row r="95" s="127" customFormat="1" spans="1:9">
      <c r="A95" s="211"/>
      <c r="B95" s="211"/>
      <c r="C95" s="183"/>
      <c r="D95" s="198"/>
      <c r="E95" s="211"/>
      <c r="F95" s="211"/>
      <c r="G95" s="212"/>
      <c r="H95" s="186"/>
      <c r="I95" s="211"/>
    </row>
    <row r="96" s="127" customFormat="1" ht="25.5" spans="1:9">
      <c r="A96" s="176" t="s">
        <v>63</v>
      </c>
      <c r="B96" s="176" t="str">
        <f>VLOOKUP(A96,Planilha!$A$11:$I$39026,4,FALSE)</f>
        <v>Demolição de piso cimentado inclusive lastro de concreto</v>
      </c>
      <c r="C96" s="176" t="str">
        <f>VLOOKUP($A96,Planilha!$A$11:$I$39026,5,FALSE)</f>
        <v>m²</v>
      </c>
      <c r="D96" s="176" t="s">
        <v>405</v>
      </c>
      <c r="E96" s="176"/>
      <c r="F96" s="176" t="s">
        <v>406</v>
      </c>
      <c r="G96" s="176" t="s">
        <v>463</v>
      </c>
      <c r="H96" s="176" t="s">
        <v>409</v>
      </c>
      <c r="I96" s="219">
        <f>SUM(H97:H99)</f>
        <v>48.8</v>
      </c>
    </row>
    <row r="97" s="127" customFormat="1" spans="1:9">
      <c r="A97" s="181"/>
      <c r="B97" s="182" t="s">
        <v>410</v>
      </c>
      <c r="C97" s="183" t="s">
        <v>464</v>
      </c>
      <c r="D97" s="184">
        <v>9.2</v>
      </c>
      <c r="E97" s="185"/>
      <c r="F97" s="185">
        <v>0.5</v>
      </c>
      <c r="G97" s="212"/>
      <c r="H97" s="186">
        <f t="shared" ref="H97:H99" si="6">F97*D97</f>
        <v>4.6</v>
      </c>
      <c r="I97" s="219"/>
    </row>
    <row r="98" s="127" customFormat="1" spans="1:9">
      <c r="A98" s="181"/>
      <c r="B98" s="182"/>
      <c r="C98" s="183" t="s">
        <v>426</v>
      </c>
      <c r="D98" s="184">
        <v>5.15</v>
      </c>
      <c r="E98" s="185"/>
      <c r="F98" s="185">
        <v>8</v>
      </c>
      <c r="G98" s="212"/>
      <c r="H98" s="186">
        <f t="shared" si="6"/>
        <v>41.2</v>
      </c>
      <c r="I98" s="220"/>
    </row>
    <row r="99" s="127" customFormat="1" spans="1:9">
      <c r="A99" s="181"/>
      <c r="B99" s="182"/>
      <c r="C99" s="183" t="s">
        <v>465</v>
      </c>
      <c r="D99" s="184">
        <v>6</v>
      </c>
      <c r="E99" s="185"/>
      <c r="F99" s="185">
        <v>0.5</v>
      </c>
      <c r="G99" s="212"/>
      <c r="H99" s="186">
        <f t="shared" si="6"/>
        <v>3</v>
      </c>
      <c r="I99" s="220"/>
    </row>
    <row r="100" s="127" customFormat="1" spans="1:9">
      <c r="A100" s="181"/>
      <c r="B100" s="182"/>
      <c r="C100" s="183"/>
      <c r="D100" s="184"/>
      <c r="E100" s="185"/>
      <c r="F100" s="185"/>
      <c r="G100" s="212"/>
      <c r="H100" s="186"/>
      <c r="I100" s="220"/>
    </row>
    <row r="101" s="127" customFormat="1" ht="25.5" spans="1:9">
      <c r="A101" s="176" t="s">
        <v>66</v>
      </c>
      <c r="B101" s="176" t="str">
        <f>VLOOKUP(A101,Planilha!$A$11:$I$39026,4,FALSE)</f>
        <v>Retirada de grades, gradis, alambrados, cercas e portões</v>
      </c>
      <c r="C101" s="176" t="s">
        <v>28</v>
      </c>
      <c r="D101" s="176" t="s">
        <v>405</v>
      </c>
      <c r="E101" s="176" t="s">
        <v>407</v>
      </c>
      <c r="F101" s="176" t="s">
        <v>406</v>
      </c>
      <c r="G101" s="176" t="s">
        <v>466</v>
      </c>
      <c r="H101" s="176" t="s">
        <v>409</v>
      </c>
      <c r="I101" s="219">
        <f>SUM(H102:H108)</f>
        <v>40.7</v>
      </c>
    </row>
    <row r="102" s="127" customFormat="1" spans="1:9">
      <c r="A102" s="181"/>
      <c r="B102" s="182" t="s">
        <v>410</v>
      </c>
      <c r="C102" s="183" t="s">
        <v>467</v>
      </c>
      <c r="D102" s="184">
        <f>2.85+3.95</f>
        <v>6.8</v>
      </c>
      <c r="E102" s="185">
        <v>1.6</v>
      </c>
      <c r="F102" s="185"/>
      <c r="G102" s="212"/>
      <c r="H102" s="186">
        <f>E102*D102</f>
        <v>10.88</v>
      </c>
      <c r="I102" s="219"/>
    </row>
    <row r="103" s="127" customFormat="1" spans="1:9">
      <c r="A103" s="181"/>
      <c r="B103" s="182"/>
      <c r="C103" s="183" t="s">
        <v>468</v>
      </c>
      <c r="D103" s="184">
        <v>1.6</v>
      </c>
      <c r="E103" s="185">
        <v>1.4</v>
      </c>
      <c r="F103" s="185"/>
      <c r="G103" s="212">
        <v>1</v>
      </c>
      <c r="H103" s="186">
        <f t="shared" ref="H103:H108" si="7">E103*D103*G103</f>
        <v>2.24</v>
      </c>
      <c r="I103" s="220"/>
    </row>
    <row r="104" s="127" customFormat="1" spans="1:9">
      <c r="A104" s="181"/>
      <c r="B104" s="182"/>
      <c r="C104" s="183" t="s">
        <v>469</v>
      </c>
      <c r="D104" s="184">
        <v>2.2</v>
      </c>
      <c r="E104" s="185">
        <v>1.6</v>
      </c>
      <c r="F104" s="185"/>
      <c r="G104" s="212">
        <v>4</v>
      </c>
      <c r="H104" s="186">
        <f t="shared" si="7"/>
        <v>14.08</v>
      </c>
      <c r="I104" s="220"/>
    </row>
    <row r="105" s="127" customFormat="1" spans="1:9">
      <c r="A105" s="181"/>
      <c r="B105" s="182"/>
      <c r="C105" s="183" t="s">
        <v>470</v>
      </c>
      <c r="D105" s="184">
        <v>2</v>
      </c>
      <c r="E105" s="185">
        <v>1</v>
      </c>
      <c r="F105" s="185"/>
      <c r="G105" s="212">
        <v>1</v>
      </c>
      <c r="H105" s="186">
        <f t="shared" si="7"/>
        <v>2</v>
      </c>
      <c r="I105" s="220"/>
    </row>
    <row r="106" s="127" customFormat="1" spans="1:9">
      <c r="A106" s="181"/>
      <c r="B106" s="182"/>
      <c r="C106" s="183" t="s">
        <v>462</v>
      </c>
      <c r="D106" s="184">
        <v>1</v>
      </c>
      <c r="E106" s="185">
        <v>1</v>
      </c>
      <c r="F106" s="185"/>
      <c r="G106" s="212">
        <v>1</v>
      </c>
      <c r="H106" s="186">
        <f t="shared" si="7"/>
        <v>1</v>
      </c>
      <c r="I106" s="220"/>
    </row>
    <row r="107" s="127" customFormat="1" spans="1:9">
      <c r="A107" s="181"/>
      <c r="B107" s="182"/>
      <c r="C107" s="183" t="s">
        <v>471</v>
      </c>
      <c r="D107" s="184">
        <v>0.8</v>
      </c>
      <c r="E107" s="185">
        <v>2.1</v>
      </c>
      <c r="F107" s="185"/>
      <c r="G107" s="212">
        <v>1</v>
      </c>
      <c r="H107" s="186">
        <f t="shared" si="7"/>
        <v>1.68</v>
      </c>
      <c r="I107" s="220"/>
    </row>
    <row r="108" s="127" customFormat="1" spans="1:9">
      <c r="A108" s="181"/>
      <c r="B108" s="182"/>
      <c r="C108" s="183" t="s">
        <v>472</v>
      </c>
      <c r="D108" s="184">
        <v>4.2</v>
      </c>
      <c r="E108" s="185">
        <v>2.1</v>
      </c>
      <c r="F108" s="185"/>
      <c r="G108" s="212">
        <v>1</v>
      </c>
      <c r="H108" s="186">
        <f t="shared" si="7"/>
        <v>8.82</v>
      </c>
      <c r="I108" s="220"/>
    </row>
    <row r="109" s="127" customFormat="1" spans="1:9">
      <c r="A109" s="181"/>
      <c r="B109" s="182"/>
      <c r="C109" s="183"/>
      <c r="D109" s="184"/>
      <c r="E109" s="185"/>
      <c r="F109" s="185"/>
      <c r="G109" s="212"/>
      <c r="H109" s="186"/>
      <c r="I109" s="220"/>
    </row>
    <row r="110" s="127" customFormat="1" spans="1:9">
      <c r="A110" s="176" t="s">
        <v>69</v>
      </c>
      <c r="B110" s="176" t="str">
        <f>VLOOKUP(A110,Planilha!$A$11:$I$39026,4,FALSE)</f>
        <v>Demolição de alvenaria</v>
      </c>
      <c r="C110" s="176" t="str">
        <f>VLOOKUP($A110,Planilha!$A$11:$I$39026,5,FALSE)</f>
        <v>m³</v>
      </c>
      <c r="D110" s="176" t="s">
        <v>405</v>
      </c>
      <c r="E110" s="176" t="s">
        <v>407</v>
      </c>
      <c r="F110" s="176" t="s">
        <v>473</v>
      </c>
      <c r="G110" s="176" t="s">
        <v>424</v>
      </c>
      <c r="H110" s="176" t="s">
        <v>409</v>
      </c>
      <c r="I110" s="219">
        <f>SUM(H111:H128)</f>
        <v>8.686</v>
      </c>
    </row>
    <row r="111" s="127" customFormat="1" ht="30" spans="1:9">
      <c r="A111" s="181"/>
      <c r="B111" s="182" t="s">
        <v>410</v>
      </c>
      <c r="C111" s="183" t="s">
        <v>474</v>
      </c>
      <c r="D111" s="184">
        <v>1.8</v>
      </c>
      <c r="E111" s="185">
        <v>0.2</v>
      </c>
      <c r="F111" s="185">
        <v>0.15</v>
      </c>
      <c r="G111" s="212">
        <v>3</v>
      </c>
      <c r="H111" s="186">
        <f>E111*D111*F111*G111</f>
        <v>0.162</v>
      </c>
      <c r="I111" s="219"/>
    </row>
    <row r="112" s="127" customFormat="1" spans="1:9">
      <c r="A112" s="181"/>
      <c r="B112" s="182"/>
      <c r="C112" s="183" t="s">
        <v>475</v>
      </c>
      <c r="D112" s="184">
        <v>2.2</v>
      </c>
      <c r="E112" s="185">
        <v>0.2</v>
      </c>
      <c r="F112" s="185">
        <v>0.15</v>
      </c>
      <c r="G112" s="212">
        <v>8</v>
      </c>
      <c r="H112" s="186">
        <f t="shared" ref="H112:H120" si="8">E112*D112*F112*G112</f>
        <v>0.528</v>
      </c>
      <c r="I112" s="220"/>
    </row>
    <row r="113" s="127" customFormat="1" ht="30" spans="1:9">
      <c r="A113" s="181"/>
      <c r="B113" s="182"/>
      <c r="C113" s="183" t="s">
        <v>476</v>
      </c>
      <c r="D113" s="184">
        <v>1.8</v>
      </c>
      <c r="E113" s="185">
        <v>1.4</v>
      </c>
      <c r="F113" s="185">
        <v>0.15</v>
      </c>
      <c r="G113" s="212">
        <v>1</v>
      </c>
      <c r="H113" s="186">
        <f t="shared" si="8"/>
        <v>0.378</v>
      </c>
      <c r="I113" s="220"/>
    </row>
    <row r="114" s="127" customFormat="1" ht="30" spans="1:9">
      <c r="A114" s="181"/>
      <c r="B114" s="182"/>
      <c r="C114" s="183" t="s">
        <v>477</v>
      </c>
      <c r="D114" s="184">
        <v>1</v>
      </c>
      <c r="E114" s="185">
        <v>1.2</v>
      </c>
      <c r="F114" s="185">
        <v>0.15</v>
      </c>
      <c r="G114" s="212">
        <v>1</v>
      </c>
      <c r="H114" s="186">
        <f t="shared" si="8"/>
        <v>0.18</v>
      </c>
      <c r="I114" s="220"/>
    </row>
    <row r="115" s="127" customFormat="1" spans="1:9">
      <c r="A115" s="181"/>
      <c r="B115" s="182"/>
      <c r="C115" s="183" t="s">
        <v>478</v>
      </c>
      <c r="D115" s="184">
        <v>2.4</v>
      </c>
      <c r="E115" s="185">
        <v>0.2</v>
      </c>
      <c r="F115" s="185">
        <v>0.15</v>
      </c>
      <c r="G115" s="212">
        <v>4</v>
      </c>
      <c r="H115" s="186">
        <f t="shared" si="8"/>
        <v>0.288</v>
      </c>
      <c r="I115" s="220"/>
    </row>
    <row r="116" s="127" customFormat="1" ht="30" spans="1:9">
      <c r="A116" s="181"/>
      <c r="B116" s="182"/>
      <c r="C116" s="183" t="s">
        <v>479</v>
      </c>
      <c r="D116" s="184">
        <v>2</v>
      </c>
      <c r="E116" s="185">
        <v>1.2</v>
      </c>
      <c r="F116" s="185">
        <v>0.15</v>
      </c>
      <c r="G116" s="212">
        <v>1</v>
      </c>
      <c r="H116" s="186">
        <f t="shared" si="8"/>
        <v>0.36</v>
      </c>
      <c r="I116" s="220"/>
    </row>
    <row r="117" s="127" customFormat="1" spans="1:9">
      <c r="A117" s="181"/>
      <c r="B117" s="182"/>
      <c r="C117" s="183" t="s">
        <v>480</v>
      </c>
      <c r="D117" s="184">
        <v>1.6</v>
      </c>
      <c r="E117" s="185">
        <v>0.6</v>
      </c>
      <c r="F117" s="185">
        <v>0.15</v>
      </c>
      <c r="G117" s="212">
        <v>2</v>
      </c>
      <c r="H117" s="186">
        <f t="shared" si="8"/>
        <v>0.288</v>
      </c>
      <c r="I117" s="220"/>
    </row>
    <row r="118" s="127" customFormat="1" spans="1:9">
      <c r="A118" s="181"/>
      <c r="B118" s="182"/>
      <c r="C118" s="183" t="s">
        <v>481</v>
      </c>
      <c r="D118" s="184">
        <v>2.2</v>
      </c>
      <c r="E118" s="185">
        <v>0.2</v>
      </c>
      <c r="F118" s="185">
        <v>0.15</v>
      </c>
      <c r="G118" s="212">
        <v>16</v>
      </c>
      <c r="H118" s="186">
        <f t="shared" si="8"/>
        <v>1.056</v>
      </c>
      <c r="I118" s="220"/>
    </row>
    <row r="119" s="127" customFormat="1" ht="30" spans="1:9">
      <c r="A119" s="181"/>
      <c r="B119" s="182"/>
      <c r="C119" s="183" t="s">
        <v>482</v>
      </c>
      <c r="D119" s="184">
        <v>2</v>
      </c>
      <c r="E119" s="185">
        <v>0.2</v>
      </c>
      <c r="F119" s="185">
        <v>0.15</v>
      </c>
      <c r="G119" s="212">
        <v>2</v>
      </c>
      <c r="H119" s="186">
        <f t="shared" si="8"/>
        <v>0.12</v>
      </c>
      <c r="I119" s="220"/>
    </row>
    <row r="120" s="127" customFormat="1" ht="30" spans="1:9">
      <c r="A120" s="181"/>
      <c r="B120" s="182"/>
      <c r="C120" s="183" t="s">
        <v>483</v>
      </c>
      <c r="D120" s="184">
        <v>1.8</v>
      </c>
      <c r="E120" s="185">
        <v>1.6</v>
      </c>
      <c r="F120" s="185">
        <v>0.15</v>
      </c>
      <c r="G120" s="212">
        <v>2</v>
      </c>
      <c r="H120" s="186">
        <f t="shared" ref="H120:H122" si="9">E120*D120*F120*G120</f>
        <v>0.864</v>
      </c>
      <c r="I120" s="220"/>
    </row>
    <row r="121" s="127" customFormat="1" ht="30" spans="1:9">
      <c r="A121" s="181"/>
      <c r="B121" s="182"/>
      <c r="C121" s="183" t="s">
        <v>484</v>
      </c>
      <c r="D121" s="184">
        <v>2.2</v>
      </c>
      <c r="E121" s="185">
        <v>0.2</v>
      </c>
      <c r="F121" s="185">
        <v>0.15</v>
      </c>
      <c r="G121" s="212">
        <v>2</v>
      </c>
      <c r="H121" s="186">
        <f t="shared" si="9"/>
        <v>0.132</v>
      </c>
      <c r="I121" s="220"/>
    </row>
    <row r="122" s="127" customFormat="1" spans="1:9">
      <c r="A122" s="181"/>
      <c r="B122" s="182"/>
      <c r="C122" s="183" t="s">
        <v>485</v>
      </c>
      <c r="D122" s="184">
        <v>2.6</v>
      </c>
      <c r="E122" s="185">
        <v>3</v>
      </c>
      <c r="F122" s="185">
        <v>0.15</v>
      </c>
      <c r="G122" s="212">
        <v>1</v>
      </c>
      <c r="H122" s="186">
        <f t="shared" si="9"/>
        <v>1.17</v>
      </c>
      <c r="I122" s="220"/>
    </row>
    <row r="123" s="127" customFormat="1" spans="1:9">
      <c r="A123" s="181"/>
      <c r="B123" s="182"/>
      <c r="C123" s="183" t="s">
        <v>486</v>
      </c>
      <c r="D123" s="184">
        <v>1</v>
      </c>
      <c r="E123" s="185">
        <v>0.6</v>
      </c>
      <c r="F123" s="185">
        <v>0.15</v>
      </c>
      <c r="G123" s="212">
        <v>6</v>
      </c>
      <c r="H123" s="186">
        <f t="shared" ref="H123:H126" si="10">E123*D123*F123*G123</f>
        <v>0.54</v>
      </c>
      <c r="I123" s="220"/>
    </row>
    <row r="124" s="127" customFormat="1" spans="1:9">
      <c r="A124" s="181"/>
      <c r="B124" s="182"/>
      <c r="C124" s="183" t="s">
        <v>487</v>
      </c>
      <c r="D124" s="184">
        <f>1.5+2.8+1.25</f>
        <v>5.55</v>
      </c>
      <c r="E124" s="185">
        <v>3</v>
      </c>
      <c r="F124" s="185">
        <v>0.15</v>
      </c>
      <c r="G124" s="212">
        <v>1</v>
      </c>
      <c r="H124" s="186">
        <f t="shared" si="10"/>
        <v>2.4975</v>
      </c>
      <c r="I124" s="220"/>
    </row>
    <row r="125" s="127" customFormat="1" spans="1:9">
      <c r="A125" s="181"/>
      <c r="B125" s="182"/>
      <c r="C125" s="183" t="s">
        <v>488</v>
      </c>
      <c r="D125" s="184">
        <v>0.1</v>
      </c>
      <c r="E125" s="185">
        <v>0.7</v>
      </c>
      <c r="F125" s="185">
        <v>0.15</v>
      </c>
      <c r="G125" s="212">
        <v>1</v>
      </c>
      <c r="H125" s="186">
        <f t="shared" si="10"/>
        <v>0.0105</v>
      </c>
      <c r="I125" s="220"/>
    </row>
    <row r="126" s="127" customFormat="1" spans="1:9">
      <c r="A126" s="181"/>
      <c r="B126" s="182"/>
      <c r="C126" s="183" t="s">
        <v>489</v>
      </c>
      <c r="D126" s="184">
        <v>1.8</v>
      </c>
      <c r="E126" s="185">
        <v>0.2</v>
      </c>
      <c r="F126" s="185">
        <v>0.15</v>
      </c>
      <c r="G126" s="212">
        <v>2</v>
      </c>
      <c r="H126" s="186">
        <f t="shared" si="10"/>
        <v>0.108</v>
      </c>
      <c r="I126" s="220"/>
    </row>
    <row r="127" s="127" customFormat="1" spans="1:9">
      <c r="A127" s="181"/>
      <c r="B127" s="182"/>
      <c r="C127" s="183"/>
      <c r="D127" s="184"/>
      <c r="E127" s="185"/>
      <c r="F127" s="185"/>
      <c r="G127" s="212"/>
      <c r="H127" s="186"/>
      <c r="I127" s="220"/>
    </row>
    <row r="128" s="127" customFormat="1" spans="1:9">
      <c r="A128" s="181"/>
      <c r="B128" s="182"/>
      <c r="C128" s="183" t="s">
        <v>490</v>
      </c>
      <c r="D128" s="184">
        <v>0.2</v>
      </c>
      <c r="E128" s="185">
        <v>0.2</v>
      </c>
      <c r="F128" s="185">
        <v>0.1</v>
      </c>
      <c r="G128" s="212">
        <v>1</v>
      </c>
      <c r="H128" s="241">
        <f>G128*F128*E128*D128</f>
        <v>0.004</v>
      </c>
      <c r="I128" s="220"/>
    </row>
    <row r="129" s="127" customFormat="1" spans="1:9">
      <c r="A129" s="181"/>
      <c r="B129" s="182"/>
      <c r="C129" s="183"/>
      <c r="D129" s="184"/>
      <c r="E129" s="185"/>
      <c r="F129" s="185"/>
      <c r="G129" s="212"/>
      <c r="H129" s="186"/>
      <c r="I129" s="220"/>
    </row>
    <row r="130" s="127" customFormat="1" ht="25.5" spans="1:9">
      <c r="A130" s="176" t="s">
        <v>73</v>
      </c>
      <c r="B130" s="176" t="str">
        <f>VLOOKUP(A130,Planilha!$A$11:$I$39026,4,FALSE)</f>
        <v>Remoção de telha cerâmica, tipo francesa, inclusive cumeeira</v>
      </c>
      <c r="C130" s="176" t="s">
        <v>28</v>
      </c>
      <c r="D130" s="176" t="s">
        <v>405</v>
      </c>
      <c r="E130" s="176"/>
      <c r="F130" s="176" t="s">
        <v>406</v>
      </c>
      <c r="G130" s="176" t="s">
        <v>463</v>
      </c>
      <c r="H130" s="176" t="s">
        <v>409</v>
      </c>
      <c r="I130" s="219">
        <f>SUM(H131)</f>
        <v>21.62</v>
      </c>
    </row>
    <row r="131" s="127" customFormat="1" spans="1:9">
      <c r="A131" s="181"/>
      <c r="B131" s="182" t="s">
        <v>410</v>
      </c>
      <c r="C131" s="183" t="s">
        <v>491</v>
      </c>
      <c r="D131" s="184">
        <v>9.2</v>
      </c>
      <c r="E131" s="185"/>
      <c r="F131" s="185">
        <v>2.35</v>
      </c>
      <c r="G131" s="212"/>
      <c r="H131" s="186">
        <f>F131*D131</f>
        <v>21.62</v>
      </c>
      <c r="I131" s="219"/>
    </row>
    <row r="132" s="127" customFormat="1" spans="1:9">
      <c r="A132" s="181"/>
      <c r="B132" s="182"/>
      <c r="C132" s="183"/>
      <c r="D132" s="184"/>
      <c r="E132" s="185"/>
      <c r="F132" s="185"/>
      <c r="G132" s="212"/>
      <c r="H132" s="186"/>
      <c r="I132" s="220"/>
    </row>
    <row r="133" s="127" customFormat="1" spans="1:9">
      <c r="A133" s="176" t="s">
        <v>76</v>
      </c>
      <c r="B133" s="176" t="str">
        <f>VLOOKUP(A133,Planilha!$A$11:$I$39026,4,FALSE)</f>
        <v>Demolição de estrutura em madeira de telhado</v>
      </c>
      <c r="C133" s="176" t="str">
        <f>VLOOKUP($A133,Planilha!$A$11:$I$39026,5,FALSE)</f>
        <v>m²</v>
      </c>
      <c r="D133" s="176" t="s">
        <v>405</v>
      </c>
      <c r="E133" s="176"/>
      <c r="F133" s="176" t="s">
        <v>406</v>
      </c>
      <c r="G133" s="176" t="s">
        <v>463</v>
      </c>
      <c r="H133" s="176" t="s">
        <v>409</v>
      </c>
      <c r="I133" s="219">
        <f>SUM(H134)</f>
        <v>21.62</v>
      </c>
    </row>
    <row r="134" s="127" customFormat="1" spans="1:9">
      <c r="A134" s="181"/>
      <c r="B134" s="182" t="s">
        <v>410</v>
      </c>
      <c r="C134" s="183" t="s">
        <v>491</v>
      </c>
      <c r="D134" s="184">
        <v>9.2</v>
      </c>
      <c r="E134" s="185"/>
      <c r="F134" s="185">
        <v>2.35</v>
      </c>
      <c r="G134" s="212"/>
      <c r="H134" s="186">
        <f>F134*D134</f>
        <v>21.62</v>
      </c>
      <c r="I134" s="219"/>
    </row>
    <row r="135" s="127" customFormat="1" spans="1:9">
      <c r="A135" s="181"/>
      <c r="B135" s="182"/>
      <c r="C135" s="183"/>
      <c r="D135" s="184"/>
      <c r="E135" s="185"/>
      <c r="F135" s="185"/>
      <c r="G135" s="212"/>
      <c r="H135" s="186"/>
      <c r="I135" s="220"/>
    </row>
    <row r="136" s="127" customFormat="1" spans="1:9">
      <c r="A136" s="176" t="s">
        <v>79</v>
      </c>
      <c r="B136" s="176" t="str">
        <f>VLOOKUP(A136,Planilha!$A$11:$I$39026,4,FALSE)</f>
        <v>Retirada de marco de madeira</v>
      </c>
      <c r="C136" s="176" t="str">
        <f>VLOOKUP($A136,Planilha!$A$11:$I$39026,5,FALSE)</f>
        <v>m</v>
      </c>
      <c r="D136" s="176" t="s">
        <v>405</v>
      </c>
      <c r="E136" s="176" t="s">
        <v>407</v>
      </c>
      <c r="F136" s="176" t="s">
        <v>406</v>
      </c>
      <c r="G136" s="176" t="s">
        <v>463</v>
      </c>
      <c r="H136" s="176" t="s">
        <v>411</v>
      </c>
      <c r="I136" s="219">
        <f>SUM(H137)</f>
        <v>5</v>
      </c>
    </row>
    <row r="137" s="127" customFormat="1" spans="1:9">
      <c r="A137" s="181"/>
      <c r="B137" s="182" t="s">
        <v>410</v>
      </c>
      <c r="C137" s="183" t="s">
        <v>427</v>
      </c>
      <c r="D137" s="184"/>
      <c r="E137" s="185">
        <v>2.1</v>
      </c>
      <c r="F137" s="185">
        <v>0.8</v>
      </c>
      <c r="G137" s="212"/>
      <c r="H137" s="186">
        <f>E137+F137+E137</f>
        <v>5</v>
      </c>
      <c r="I137" s="219"/>
    </row>
    <row r="138" s="127" customFormat="1" spans="1:9">
      <c r="A138" s="181"/>
      <c r="B138" s="182"/>
      <c r="C138" s="183"/>
      <c r="D138" s="184"/>
      <c r="E138" s="185"/>
      <c r="F138" s="185"/>
      <c r="G138" s="212"/>
      <c r="H138" s="186"/>
      <c r="I138" s="220"/>
    </row>
    <row r="139" s="127" customFormat="1" spans="1:9">
      <c r="A139" s="176" t="s">
        <v>82</v>
      </c>
      <c r="B139" s="176" t="str">
        <f>VLOOKUP(A139,Planilha!$A$11:$I$39026,4,FALSE)</f>
        <v>Retirada de alizar de madeira</v>
      </c>
      <c r="C139" s="176" t="str">
        <f>VLOOKUP($A139,Planilha!$A$11:$I$39026,5,FALSE)</f>
        <v>m</v>
      </c>
      <c r="D139" s="176" t="s">
        <v>405</v>
      </c>
      <c r="E139" s="176" t="s">
        <v>407</v>
      </c>
      <c r="F139" s="176" t="s">
        <v>406</v>
      </c>
      <c r="G139" s="176" t="s">
        <v>463</v>
      </c>
      <c r="H139" s="176" t="s">
        <v>411</v>
      </c>
      <c r="I139" s="219">
        <f>SUM(H140)</f>
        <v>5</v>
      </c>
    </row>
    <row r="140" s="127" customFormat="1" spans="1:9">
      <c r="A140" s="181"/>
      <c r="B140" s="182" t="s">
        <v>410</v>
      </c>
      <c r="C140" s="183" t="s">
        <v>427</v>
      </c>
      <c r="D140" s="184"/>
      <c r="E140" s="185">
        <v>2.1</v>
      </c>
      <c r="F140" s="185">
        <v>0.8</v>
      </c>
      <c r="G140" s="212"/>
      <c r="H140" s="186">
        <f>E140+F140+E140</f>
        <v>5</v>
      </c>
      <c r="I140" s="219"/>
    </row>
    <row r="141" s="127" customFormat="1" spans="1:9">
      <c r="A141" s="181"/>
      <c r="B141" s="182"/>
      <c r="C141" s="183"/>
      <c r="D141" s="184"/>
      <c r="E141" s="185"/>
      <c r="F141" s="185"/>
      <c r="G141" s="212"/>
      <c r="H141" s="186"/>
      <c r="I141" s="220"/>
    </row>
    <row r="142" s="127" customFormat="1" spans="1:9">
      <c r="A142" s="176" t="s">
        <v>85</v>
      </c>
      <c r="B142" s="176" t="str">
        <f>VLOOKUP(A142,Planilha!$A$11:$I$39026,4,FALSE)</f>
        <v>Retirada de caixas/quadros elétricos</v>
      </c>
      <c r="C142" s="176" t="str">
        <f>VLOOKUP($A142,Planilha!$A$11:$I$39026,5,FALSE)</f>
        <v>und</v>
      </c>
      <c r="D142" s="176" t="s">
        <v>405</v>
      </c>
      <c r="E142" s="176" t="s">
        <v>407</v>
      </c>
      <c r="F142" s="176" t="s">
        <v>406</v>
      </c>
      <c r="G142" s="176" t="s">
        <v>463</v>
      </c>
      <c r="H142" s="176" t="s">
        <v>411</v>
      </c>
      <c r="I142" s="219">
        <f>SUM(H143)</f>
        <v>1</v>
      </c>
    </row>
    <row r="143" s="127" customFormat="1" spans="1:9">
      <c r="A143" s="181"/>
      <c r="B143" s="182" t="s">
        <v>410</v>
      </c>
      <c r="C143" s="183" t="s">
        <v>492</v>
      </c>
      <c r="D143" s="184"/>
      <c r="E143" s="185"/>
      <c r="F143" s="185"/>
      <c r="G143" s="212"/>
      <c r="H143" s="186">
        <v>1</v>
      </c>
      <c r="I143" s="219"/>
    </row>
    <row r="144" s="127" customFormat="1" spans="1:9">
      <c r="A144" s="181"/>
      <c r="B144" s="182"/>
      <c r="C144" s="183"/>
      <c r="D144" s="184"/>
      <c r="E144" s="185"/>
      <c r="F144" s="185"/>
      <c r="G144" s="212"/>
      <c r="H144" s="186"/>
      <c r="I144" s="220"/>
    </row>
    <row r="145" s="127" customFormat="1" ht="38.25" spans="1:9">
      <c r="A145" s="176" t="s">
        <v>90</v>
      </c>
      <c r="B145" s="176" t="str">
        <f>VLOOKUP(A145,Planilha!$A$11:$I$39026,4,FALSE)</f>
        <v>Verga/Contraverga de concreto armado 10x5 cm, Fck = 15Mpa, inclusive forma armação e desforma.</v>
      </c>
      <c r="C145" s="176" t="str">
        <f>VLOOKUP($A145,Planilha!$A$11:$I$39026,5,FALSE)</f>
        <v>m</v>
      </c>
      <c r="D145" s="176" t="s">
        <v>405</v>
      </c>
      <c r="E145" s="176" t="s">
        <v>493</v>
      </c>
      <c r="F145" s="176"/>
      <c r="G145" s="176" t="s">
        <v>494</v>
      </c>
      <c r="H145" s="176" t="s">
        <v>411</v>
      </c>
      <c r="I145" s="219">
        <f>SUM(H146:H149)</f>
        <v>53.9</v>
      </c>
    </row>
    <row r="146" s="127" customFormat="1" ht="25.5" spans="1:9">
      <c r="A146" s="181"/>
      <c r="B146" s="182" t="s">
        <v>495</v>
      </c>
      <c r="C146" s="183" t="s">
        <v>496</v>
      </c>
      <c r="D146" s="184">
        <v>2.2</v>
      </c>
      <c r="E146" s="185"/>
      <c r="F146" s="185"/>
      <c r="G146" s="212">
        <v>16</v>
      </c>
      <c r="H146" s="186">
        <f t="shared" ref="H146:H149" si="11">D146*G146</f>
        <v>35.2</v>
      </c>
      <c r="I146" s="243"/>
    </row>
    <row r="147" s="127" customFormat="1" spans="1:9">
      <c r="A147" s="181"/>
      <c r="B147" s="182"/>
      <c r="C147" s="183" t="s">
        <v>497</v>
      </c>
      <c r="D147" s="184">
        <v>2.4</v>
      </c>
      <c r="E147" s="185"/>
      <c r="F147" s="185"/>
      <c r="G147" s="212">
        <v>4</v>
      </c>
      <c r="H147" s="186">
        <f t="shared" si="11"/>
        <v>9.6</v>
      </c>
      <c r="I147" s="243"/>
    </row>
    <row r="148" s="127" customFormat="1" spans="1:9">
      <c r="A148" s="181"/>
      <c r="B148" s="182"/>
      <c r="C148" s="183" t="s">
        <v>498</v>
      </c>
      <c r="D148" s="184">
        <v>2</v>
      </c>
      <c r="E148" s="185"/>
      <c r="F148" s="185"/>
      <c r="G148" s="212">
        <v>4</v>
      </c>
      <c r="H148" s="186">
        <f t="shared" si="11"/>
        <v>8</v>
      </c>
      <c r="I148" s="243"/>
    </row>
    <row r="149" s="127" customFormat="1" spans="1:9">
      <c r="A149" s="181"/>
      <c r="B149" s="182"/>
      <c r="C149" s="183" t="s">
        <v>499</v>
      </c>
      <c r="D149" s="184">
        <v>1.1</v>
      </c>
      <c r="E149" s="185"/>
      <c r="F149" s="185"/>
      <c r="G149" s="212">
        <v>1</v>
      </c>
      <c r="H149" s="186">
        <f t="shared" si="11"/>
        <v>1.1</v>
      </c>
      <c r="I149" s="243"/>
    </row>
    <row r="150" spans="1:9">
      <c r="A150" s="187"/>
      <c r="B150" s="187"/>
      <c r="C150" s="188"/>
      <c r="D150" s="198"/>
      <c r="E150" s="185"/>
      <c r="F150" s="211"/>
      <c r="G150" s="212"/>
      <c r="H150" s="203"/>
      <c r="I150" s="187"/>
    </row>
    <row r="151" ht="76.5" spans="1:9">
      <c r="A151" s="175" t="s">
        <v>93</v>
      </c>
      <c r="B151" s="176" t="str">
        <f>VLOOKUP(A151,Planilha!$A$11:$I$39026,4,FALSE)</f>
        <v>Alvenaria de blocos cerâmicos 10 furos 10x20x20cm, assentados c/argamassa de cimento, cal hidratada CH1 e areia traço 1:0,5:8, esp. das juntas 12mm e esp. das paredes s/revestimento, 10cm (bloco comprado na fábrica, posto obra).</v>
      </c>
      <c r="C151" s="177" t="str">
        <f>VLOOKUP($A151,Planilha!$A$11:$I$39026,5,FALSE)</f>
        <v>m²</v>
      </c>
      <c r="D151" s="178" t="s">
        <v>405</v>
      </c>
      <c r="E151" s="179" t="s">
        <v>436</v>
      </c>
      <c r="F151" s="179" t="s">
        <v>500</v>
      </c>
      <c r="G151" s="179" t="s">
        <v>494</v>
      </c>
      <c r="H151" s="180" t="s">
        <v>409</v>
      </c>
      <c r="I151" s="219">
        <f>SUM(H152:H154)</f>
        <v>26.13</v>
      </c>
    </row>
    <row r="152" spans="1:9">
      <c r="A152" s="192"/>
      <c r="B152" s="193" t="s">
        <v>410</v>
      </c>
      <c r="C152" s="183" t="s">
        <v>501</v>
      </c>
      <c r="D152" s="194">
        <f>2.85+3.95</f>
        <v>6.8</v>
      </c>
      <c r="E152" s="195">
        <v>1.6</v>
      </c>
      <c r="F152" s="195">
        <f>((1.8*1.2)-2)*2</f>
        <v>0.32</v>
      </c>
      <c r="G152" s="190"/>
      <c r="H152" s="203">
        <f>(D152*E152)-F152</f>
        <v>10.56</v>
      </c>
      <c r="I152" s="219"/>
    </row>
    <row r="153" spans="1:9">
      <c r="A153" s="192"/>
      <c r="B153" s="193"/>
      <c r="C153" s="183" t="s">
        <v>502</v>
      </c>
      <c r="D153" s="194" t="s">
        <v>430</v>
      </c>
      <c r="E153" s="194"/>
      <c r="F153" s="194"/>
      <c r="G153" s="194"/>
      <c r="H153" s="203">
        <v>6.72</v>
      </c>
      <c r="I153" s="220"/>
    </row>
    <row r="154" spans="1:9">
      <c r="A154" s="192"/>
      <c r="B154" s="193"/>
      <c r="C154" s="183" t="s">
        <v>503</v>
      </c>
      <c r="D154" s="194">
        <v>2.95</v>
      </c>
      <c r="E154" s="194">
        <v>3</v>
      </c>
      <c r="F154" s="194"/>
      <c r="G154" s="194"/>
      <c r="H154" s="203">
        <f>(D154*E154)-F154</f>
        <v>8.85</v>
      </c>
      <c r="I154" s="220"/>
    </row>
    <row r="155" spans="1:9">
      <c r="A155" s="192"/>
      <c r="B155" s="193"/>
      <c r="C155" s="183"/>
      <c r="D155" s="194"/>
      <c r="E155" s="194"/>
      <c r="F155" s="194"/>
      <c r="G155" s="194"/>
      <c r="H155" s="203"/>
      <c r="I155" s="220"/>
    </row>
    <row r="156" ht="63.75" spans="1:9">
      <c r="A156" s="175" t="s">
        <v>96</v>
      </c>
      <c r="B156" s="176" t="str">
        <f>VLOOKUP(A156,Planilha!$A$11:$I$39026,4,FALSE)</f>
        <v>Alvenaria de blocos de concreto estrut. (14x19x39cm) cheios, c/ resist. mín. compr. 15MPa, assentados c/ arg. de cimento e areia no traço 1:4, esp. juntas 10mm e esp. da parede s/ revest. 14cm</v>
      </c>
      <c r="C156" s="177" t="str">
        <f>VLOOKUP($A156,Planilha!$A$11:$I$39026,5,FALSE)</f>
        <v>m²</v>
      </c>
      <c r="D156" s="178" t="s">
        <v>405</v>
      </c>
      <c r="E156" s="179" t="s">
        <v>436</v>
      </c>
      <c r="F156" s="179" t="s">
        <v>500</v>
      </c>
      <c r="G156" s="179" t="s">
        <v>494</v>
      </c>
      <c r="H156" s="180" t="s">
        <v>409</v>
      </c>
      <c r="I156" s="219">
        <f>SUM(H157:H157)</f>
        <v>1.976</v>
      </c>
    </row>
    <row r="157" spans="1:9">
      <c r="A157" s="192"/>
      <c r="B157" s="193" t="s">
        <v>410</v>
      </c>
      <c r="C157" s="183" t="s">
        <v>504</v>
      </c>
      <c r="D157" s="194">
        <v>10.4</v>
      </c>
      <c r="E157" s="195">
        <v>0.19</v>
      </c>
      <c r="F157" s="195"/>
      <c r="G157" s="190"/>
      <c r="H157" s="203">
        <f>(D157*E157)</f>
        <v>1.976</v>
      </c>
      <c r="I157" s="219"/>
    </row>
    <row r="158" spans="1:9">
      <c r="A158" s="192"/>
      <c r="B158" s="193"/>
      <c r="C158" s="183"/>
      <c r="D158" s="194"/>
      <c r="E158" s="195"/>
      <c r="F158" s="195"/>
      <c r="G158" s="190"/>
      <c r="H158" s="203"/>
      <c r="I158" s="221"/>
    </row>
    <row r="159" ht="38.25" spans="1:9">
      <c r="A159" s="175" t="s">
        <v>101</v>
      </c>
      <c r="B159" s="176" t="str">
        <f>VLOOKUP(A159,Planilha!$A$11:$I$39026,4,FALSE)</f>
        <v>Marco de madeira de lei de 1ª (Peroba, Ipê, Angelim Pedra ou equivalente) com 15x3 cm de batente, nas dimensões de 0.60 x 2.10 m</v>
      </c>
      <c r="C159" s="177" t="str">
        <f>VLOOKUP($A159,Planilha!$A$11:$I$39026,5,FALSE)</f>
        <v>und</v>
      </c>
      <c r="D159" s="178" t="s">
        <v>405</v>
      </c>
      <c r="E159" s="179" t="s">
        <v>436</v>
      </c>
      <c r="F159" s="179"/>
      <c r="G159" s="179" t="s">
        <v>494</v>
      </c>
      <c r="H159" s="180" t="s">
        <v>457</v>
      </c>
      <c r="I159" s="219">
        <f>SUM(H160)</f>
        <v>1</v>
      </c>
    </row>
    <row r="160" spans="1:9">
      <c r="A160" s="192"/>
      <c r="B160" s="193" t="s">
        <v>410</v>
      </c>
      <c r="C160" s="183" t="s">
        <v>456</v>
      </c>
      <c r="D160" s="194"/>
      <c r="E160" s="195"/>
      <c r="F160" s="195"/>
      <c r="G160" s="190">
        <v>1</v>
      </c>
      <c r="H160" s="203">
        <f>SUM(G160)</f>
        <v>1</v>
      </c>
      <c r="I160" s="219"/>
    </row>
    <row r="161" spans="1:9">
      <c r="A161" s="187"/>
      <c r="B161" s="187"/>
      <c r="C161" s="188"/>
      <c r="D161" s="189"/>
      <c r="E161" s="187"/>
      <c r="F161" s="187"/>
      <c r="G161" s="190"/>
      <c r="H161" s="191"/>
      <c r="I161" s="187"/>
    </row>
    <row r="162" ht="38.25" spans="1:9">
      <c r="A162" s="175" t="s">
        <v>104</v>
      </c>
      <c r="B162" s="176" t="str">
        <f>VLOOKUP(A162,Planilha!$A$11:$I$39026,4,FALSE)</f>
        <v>Marco de madeira de lei de 1ª (Peroba, Ipê, Angelim Pedra ou equivalente) com 15x3 cm de batente, nas dimensões de 0.70 x 2.10 m</v>
      </c>
      <c r="C162" s="177" t="str">
        <f>VLOOKUP($A162,Planilha!$A$11:$I$39026,5,FALSE)</f>
        <v>und</v>
      </c>
      <c r="D162" s="178" t="s">
        <v>405</v>
      </c>
      <c r="E162" s="179" t="s">
        <v>436</v>
      </c>
      <c r="F162" s="179"/>
      <c r="G162" s="179" t="s">
        <v>494</v>
      </c>
      <c r="H162" s="180" t="s">
        <v>457</v>
      </c>
      <c r="I162" s="219">
        <f>SUM(H163:H164)</f>
        <v>2</v>
      </c>
    </row>
    <row r="163" spans="1:9">
      <c r="A163" s="192"/>
      <c r="B163" s="193" t="s">
        <v>410</v>
      </c>
      <c r="C163" s="183" t="s">
        <v>505</v>
      </c>
      <c r="D163" s="194"/>
      <c r="E163" s="195"/>
      <c r="F163" s="195"/>
      <c r="G163" s="190">
        <v>1</v>
      </c>
      <c r="H163" s="203">
        <f>G163</f>
        <v>1</v>
      </c>
      <c r="I163" s="219"/>
    </row>
    <row r="164" spans="1:9">
      <c r="A164" s="192"/>
      <c r="B164" s="193"/>
      <c r="C164" s="183" t="s">
        <v>506</v>
      </c>
      <c r="D164" s="194"/>
      <c r="E164" s="195"/>
      <c r="F164" s="195"/>
      <c r="G164" s="190">
        <v>1</v>
      </c>
      <c r="H164" s="203">
        <f>G164</f>
        <v>1</v>
      </c>
      <c r="I164" s="219"/>
    </row>
    <row r="165" spans="1:9">
      <c r="A165" s="187"/>
      <c r="B165" s="187"/>
      <c r="C165" s="188"/>
      <c r="D165" s="189"/>
      <c r="E165" s="187"/>
      <c r="F165" s="187"/>
      <c r="G165" s="190"/>
      <c r="H165" s="191"/>
      <c r="I165" s="187"/>
    </row>
    <row r="166" s="127" customFormat="1" ht="38.25" spans="1:9">
      <c r="A166" s="175" t="s">
        <v>107</v>
      </c>
      <c r="B166" s="176" t="str">
        <f>VLOOKUP(A166,Planilha!$A$11:$I$39026,4,FALSE)</f>
        <v>Marco de madeira de lei de 1ª (Peroba, Ipê, Angelim Pedra ou equivalente) com 15x3 cm de batente, nas dimensões de 0.80 x 2.10 m</v>
      </c>
      <c r="C166" s="177" t="s">
        <v>59</v>
      </c>
      <c r="D166" s="178" t="s">
        <v>405</v>
      </c>
      <c r="E166" s="179" t="s">
        <v>436</v>
      </c>
      <c r="F166" s="179"/>
      <c r="G166" s="179" t="s">
        <v>494</v>
      </c>
      <c r="H166" s="180" t="s">
        <v>457</v>
      </c>
      <c r="I166" s="219">
        <f>SUM(H167:H171)</f>
        <v>8</v>
      </c>
    </row>
    <row r="167" s="127" customFormat="1" spans="1:9">
      <c r="A167" s="181"/>
      <c r="B167" s="182" t="s">
        <v>410</v>
      </c>
      <c r="C167" s="244" t="s">
        <v>414</v>
      </c>
      <c r="D167" s="184"/>
      <c r="E167" s="185"/>
      <c r="F167" s="185"/>
      <c r="G167" s="212">
        <v>1</v>
      </c>
      <c r="H167" s="186">
        <f>G167</f>
        <v>1</v>
      </c>
      <c r="I167" s="219"/>
    </row>
    <row r="168" s="127" customFormat="1" spans="1:9">
      <c r="A168" s="211"/>
      <c r="B168" s="211"/>
      <c r="C168" s="244" t="s">
        <v>416</v>
      </c>
      <c r="D168" s="184"/>
      <c r="E168" s="185"/>
      <c r="F168" s="185"/>
      <c r="G168" s="212">
        <v>2</v>
      </c>
      <c r="H168" s="186">
        <f>G168</f>
        <v>2</v>
      </c>
      <c r="I168" s="211"/>
    </row>
    <row r="169" s="127" customFormat="1" spans="1:9">
      <c r="A169" s="211"/>
      <c r="B169" s="211"/>
      <c r="C169" s="183" t="s">
        <v>453</v>
      </c>
      <c r="D169" s="198"/>
      <c r="E169" s="185"/>
      <c r="F169" s="233"/>
      <c r="G169" s="212">
        <v>2</v>
      </c>
      <c r="H169" s="186">
        <f>G169</f>
        <v>2</v>
      </c>
      <c r="I169" s="211"/>
    </row>
    <row r="170" s="127" customFormat="1" spans="1:9">
      <c r="A170" s="211"/>
      <c r="B170" s="211"/>
      <c r="C170" s="244" t="s">
        <v>423</v>
      </c>
      <c r="D170" s="198"/>
      <c r="E170" s="185"/>
      <c r="F170" s="202"/>
      <c r="G170" s="212">
        <v>2</v>
      </c>
      <c r="H170" s="186">
        <f>G170</f>
        <v>2</v>
      </c>
      <c r="I170" s="211"/>
    </row>
    <row r="171" s="127" customFormat="1" spans="1:9">
      <c r="A171" s="211"/>
      <c r="B171" s="211"/>
      <c r="C171" s="183" t="s">
        <v>455</v>
      </c>
      <c r="D171" s="198"/>
      <c r="E171" s="211"/>
      <c r="F171" s="211"/>
      <c r="G171" s="212">
        <v>1</v>
      </c>
      <c r="H171" s="186">
        <f>G171</f>
        <v>1</v>
      </c>
      <c r="I171" s="211"/>
    </row>
    <row r="172" spans="1:9">
      <c r="A172" s="187"/>
      <c r="B172" s="187"/>
      <c r="C172" s="188"/>
      <c r="D172" s="189"/>
      <c r="E172" s="187"/>
      <c r="F172" s="187"/>
      <c r="G172" s="190"/>
      <c r="H172" s="191"/>
      <c r="I172" s="187"/>
    </row>
    <row r="173" ht="63.75" spans="1:9">
      <c r="A173" s="175" t="s">
        <v>110</v>
      </c>
      <c r="B173" s="176" t="str">
        <f>VLOOKUP(A173,Planilha!$A$11:$I$39026,4,FALSE)</f>
        <v>Porta em madeira de lei tipo angelim pedra ou equiv.c/enchimento em madeira 1a.qualidade esp. 30mm p/ pintura, inclusive alizares, dobradiças e fechadura externa em latão cromado LaFonte ou equiv., exclusive marco, nas dim.:0.60 x 2.10 m</v>
      </c>
      <c r="C173" s="177" t="str">
        <f>VLOOKUP($A173,Planilha!$A$11:$I$39026,5,FALSE)</f>
        <v>und</v>
      </c>
      <c r="D173" s="178" t="s">
        <v>405</v>
      </c>
      <c r="E173" s="179" t="s">
        <v>436</v>
      </c>
      <c r="F173" s="179"/>
      <c r="G173" s="179" t="s">
        <v>494</v>
      </c>
      <c r="H173" s="180" t="s">
        <v>457</v>
      </c>
      <c r="I173" s="219">
        <f>SUM(H174)</f>
        <v>1</v>
      </c>
    </row>
    <row r="174" spans="1:9">
      <c r="A174" s="192"/>
      <c r="B174" s="193" t="s">
        <v>410</v>
      </c>
      <c r="C174" s="183" t="s">
        <v>456</v>
      </c>
      <c r="D174" s="194"/>
      <c r="E174" s="195"/>
      <c r="F174" s="195"/>
      <c r="G174" s="190">
        <v>1</v>
      </c>
      <c r="H174" s="203">
        <f>SUM(G174)</f>
        <v>1</v>
      </c>
      <c r="I174" s="219"/>
    </row>
    <row r="175" spans="1:9">
      <c r="A175" s="187"/>
      <c r="B175" s="187"/>
      <c r="C175" s="188"/>
      <c r="D175" s="189"/>
      <c r="E175" s="187"/>
      <c r="F175" s="187"/>
      <c r="G175" s="190"/>
      <c r="H175" s="191"/>
      <c r="I175" s="187"/>
    </row>
    <row r="176" s="127" customFormat="1" ht="63.75" spans="1:9">
      <c r="A176" s="175" t="s">
        <v>113</v>
      </c>
      <c r="B176" s="176" t="str">
        <f>VLOOKUP(A176,Planilha!$A$11:$I$39026,4,FALSE)</f>
        <v>Porta em madeira de lei tipo angelim pedra ou equiv.c/enchimento em madeira 1a.qualidade esp. 30mm p/ pintura, inclusive alizares, dobradiças e fechadura externa em latão cromado LaFonte ou equiv., exclusive marco, nas dim.:0.70 x 2.10 m</v>
      </c>
      <c r="C176" s="177" t="str">
        <f>VLOOKUP($A176,Planilha!$A$11:$I$39026,5,FALSE)</f>
        <v>und</v>
      </c>
      <c r="D176" s="178" t="s">
        <v>405</v>
      </c>
      <c r="E176" s="179" t="s">
        <v>436</v>
      </c>
      <c r="F176" s="179"/>
      <c r="G176" s="179" t="s">
        <v>494</v>
      </c>
      <c r="H176" s="180" t="s">
        <v>457</v>
      </c>
      <c r="I176" s="219">
        <f>SUM(H177:H178)</f>
        <v>2</v>
      </c>
    </row>
    <row r="177" s="127" customFormat="1" spans="1:9">
      <c r="A177" s="181"/>
      <c r="B177" s="182" t="s">
        <v>410</v>
      </c>
      <c r="C177" s="183" t="s">
        <v>505</v>
      </c>
      <c r="D177" s="184"/>
      <c r="E177" s="185"/>
      <c r="F177" s="185"/>
      <c r="G177" s="212">
        <v>1</v>
      </c>
      <c r="H177" s="186">
        <f>G177</f>
        <v>1</v>
      </c>
      <c r="I177" s="219"/>
    </row>
    <row r="178" s="127" customFormat="1" spans="1:9">
      <c r="A178" s="181"/>
      <c r="B178" s="182"/>
      <c r="C178" s="183" t="s">
        <v>506</v>
      </c>
      <c r="D178" s="184"/>
      <c r="E178" s="185"/>
      <c r="F178" s="185"/>
      <c r="G178" s="212">
        <v>1</v>
      </c>
      <c r="H178" s="186">
        <f>G178</f>
        <v>1</v>
      </c>
      <c r="I178" s="219"/>
    </row>
    <row r="179" spans="1:9">
      <c r="A179" s="187"/>
      <c r="B179" s="187"/>
      <c r="C179" s="188"/>
      <c r="D179" s="189"/>
      <c r="E179" s="187"/>
      <c r="F179" s="187"/>
      <c r="G179" s="190"/>
      <c r="H179" s="191"/>
      <c r="I179" s="187"/>
    </row>
    <row r="180" s="127" customFormat="1" ht="63.75" spans="1:9">
      <c r="A180" s="175" t="s">
        <v>116</v>
      </c>
      <c r="B180" s="176" t="str">
        <f>VLOOKUP(A180,Planilha!$A$11:$I$39026,4,FALSE)</f>
        <v>Porta em madeira de lei tipo angelim pedra ou equiv.c/enchimento em madeira 1a.qualidade esp. 30mm p/ pintura, inclusive alizares, dobradiças e fechadura externa em latão cromado LaFonte ou equiv., exclusive marco, nas dim.:0.80 x 2.10 m</v>
      </c>
      <c r="C180" s="177" t="str">
        <f>VLOOKUP($A180,Planilha!$A$11:$I$39026,5,FALSE)</f>
        <v>und</v>
      </c>
      <c r="D180" s="178" t="s">
        <v>405</v>
      </c>
      <c r="E180" s="179" t="s">
        <v>436</v>
      </c>
      <c r="F180" s="179"/>
      <c r="G180" s="179" t="s">
        <v>494</v>
      </c>
      <c r="H180" s="180" t="s">
        <v>457</v>
      </c>
      <c r="I180" s="219">
        <f>SUM(H181:H182)</f>
        <v>3</v>
      </c>
    </row>
    <row r="181" s="127" customFormat="1" spans="1:9">
      <c r="A181" s="211"/>
      <c r="B181" s="182" t="s">
        <v>410</v>
      </c>
      <c r="C181" s="183" t="s">
        <v>453</v>
      </c>
      <c r="D181" s="198"/>
      <c r="E181" s="185"/>
      <c r="F181" s="233"/>
      <c r="G181" s="212">
        <v>2</v>
      </c>
      <c r="H181" s="186">
        <f>G181</f>
        <v>2</v>
      </c>
      <c r="I181" s="219"/>
    </row>
    <row r="182" s="127" customFormat="1" spans="1:9">
      <c r="A182" s="211"/>
      <c r="B182" s="211"/>
      <c r="C182" s="183" t="s">
        <v>455</v>
      </c>
      <c r="D182" s="198"/>
      <c r="E182" s="211"/>
      <c r="F182" s="211"/>
      <c r="G182" s="212">
        <v>1</v>
      </c>
      <c r="H182" s="186">
        <f>G182</f>
        <v>1</v>
      </c>
      <c r="I182" s="211"/>
    </row>
    <row r="183" spans="1:9">
      <c r="A183" s="187"/>
      <c r="B183" s="187"/>
      <c r="C183" s="188"/>
      <c r="D183" s="189"/>
      <c r="E183" s="187"/>
      <c r="F183" s="187"/>
      <c r="G183" s="190"/>
      <c r="H183" s="191"/>
      <c r="I183" s="187"/>
    </row>
    <row r="184" ht="76.5" spans="1:9">
      <c r="A184" s="175" t="s">
        <v>119</v>
      </c>
      <c r="B184" s="176" t="str">
        <f>VLOOKUP(A184,Planilha!$A$11:$I$39026,4,FALSE)</f>
        <v>Porta em madeira de lei tipo angelim pedra ou equiv.,esp. 35 mm, maciça c/ friso p/ verniz, padrão SEDU, com visor, inclusive alizares, dobradiças e fechadura de bola ext. em latão cromado LaFonte ou equiv., excl.marco, dimensões: 0.80 x 2.10 m</v>
      </c>
      <c r="C184" s="177" t="str">
        <f>VLOOKUP($A184,Planilha!$A$11:$I$39026,5,FALSE)</f>
        <v>und</v>
      </c>
      <c r="D184" s="178" t="s">
        <v>405</v>
      </c>
      <c r="E184" s="179" t="s">
        <v>436</v>
      </c>
      <c r="F184" s="179"/>
      <c r="G184" s="179" t="s">
        <v>494</v>
      </c>
      <c r="H184" s="180" t="s">
        <v>457</v>
      </c>
      <c r="I184" s="219">
        <f>SUM(H185:H187)</f>
        <v>5</v>
      </c>
    </row>
    <row r="185" spans="1:9">
      <c r="A185" s="187"/>
      <c r="B185" s="193" t="s">
        <v>410</v>
      </c>
      <c r="C185" s="188" t="s">
        <v>414</v>
      </c>
      <c r="D185" s="194"/>
      <c r="E185" s="195"/>
      <c r="F185" s="195"/>
      <c r="G185" s="190">
        <v>1</v>
      </c>
      <c r="H185" s="203">
        <f>G185</f>
        <v>1</v>
      </c>
      <c r="I185" s="187"/>
    </row>
    <row r="186" spans="1:9">
      <c r="A186" s="187"/>
      <c r="B186" s="187"/>
      <c r="C186" s="188" t="s">
        <v>416</v>
      </c>
      <c r="D186" s="194"/>
      <c r="E186" s="195"/>
      <c r="F186" s="195"/>
      <c r="G186" s="190">
        <v>2</v>
      </c>
      <c r="H186" s="203">
        <f>G186</f>
        <v>2</v>
      </c>
      <c r="I186" s="187"/>
    </row>
    <row r="187" spans="1:9">
      <c r="A187" s="187"/>
      <c r="B187" s="187"/>
      <c r="C187" s="188" t="s">
        <v>423</v>
      </c>
      <c r="D187" s="198"/>
      <c r="E187" s="185"/>
      <c r="F187" s="202"/>
      <c r="G187" s="190">
        <v>2</v>
      </c>
      <c r="H187" s="203">
        <f>G187</f>
        <v>2</v>
      </c>
      <c r="I187" s="187"/>
    </row>
    <row r="188" spans="1:9">
      <c r="A188" s="187"/>
      <c r="B188" s="187"/>
      <c r="C188" s="188"/>
      <c r="D188" s="189"/>
      <c r="E188" s="187"/>
      <c r="F188" s="187"/>
      <c r="G188" s="190"/>
      <c r="H188" s="191"/>
      <c r="I188" s="187"/>
    </row>
    <row r="189" s="127" customFormat="1" ht="25.5" spans="1:9">
      <c r="A189" s="235" t="s">
        <v>124</v>
      </c>
      <c r="B189" s="236" t="str">
        <f>VLOOKUP(A189,Planilha!$A$11:$I$39026,4,FALSE)</f>
        <v>Grade de ferro em barra chata, inclusive chumbamento</v>
      </c>
      <c r="C189" s="237" t="str">
        <f>VLOOKUP($A189,Planilha!$A$11:$I$39026,5,FALSE)</f>
        <v>m²</v>
      </c>
      <c r="D189" s="238" t="s">
        <v>405</v>
      </c>
      <c r="E189" s="239" t="s">
        <v>436</v>
      </c>
      <c r="F189" s="239" t="s">
        <v>507</v>
      </c>
      <c r="G189" s="239" t="s">
        <v>494</v>
      </c>
      <c r="H189" s="240" t="s">
        <v>409</v>
      </c>
      <c r="I189" s="242">
        <f>SUM(H190:H193)</f>
        <v>43.34</v>
      </c>
    </row>
    <row r="190" s="127" customFormat="1" spans="1:9">
      <c r="A190" s="181"/>
      <c r="B190" s="182"/>
      <c r="C190" s="183" t="s">
        <v>496</v>
      </c>
      <c r="D190" s="184">
        <v>2.2</v>
      </c>
      <c r="E190" s="185">
        <v>1.8</v>
      </c>
      <c r="F190" s="185"/>
      <c r="G190" s="212">
        <v>8</v>
      </c>
      <c r="H190" s="186">
        <f>G190*E190*D190</f>
        <v>31.68</v>
      </c>
      <c r="I190" s="242"/>
    </row>
    <row r="191" s="127" customFormat="1" spans="1:9">
      <c r="A191" s="181"/>
      <c r="B191" s="182" t="s">
        <v>508</v>
      </c>
      <c r="C191" s="183" t="s">
        <v>497</v>
      </c>
      <c r="D191" s="184">
        <v>2.4</v>
      </c>
      <c r="E191" s="185">
        <v>1.6</v>
      </c>
      <c r="F191" s="185"/>
      <c r="G191" s="212">
        <v>2</v>
      </c>
      <c r="H191" s="186">
        <f>G191*E191*D191</f>
        <v>7.68</v>
      </c>
      <c r="I191" s="220"/>
    </row>
    <row r="192" s="127" customFormat="1" spans="1:9">
      <c r="A192" s="181"/>
      <c r="B192" s="182"/>
      <c r="C192" s="183" t="s">
        <v>509</v>
      </c>
      <c r="D192" s="184">
        <v>2</v>
      </c>
      <c r="E192" s="185">
        <v>1</v>
      </c>
      <c r="F192" s="185"/>
      <c r="G192" s="212">
        <v>1</v>
      </c>
      <c r="H192" s="186">
        <f>G192*E192*D192</f>
        <v>2</v>
      </c>
      <c r="I192" s="220"/>
    </row>
    <row r="193" s="127" customFormat="1" spans="1:9">
      <c r="A193" s="181"/>
      <c r="B193" s="182"/>
      <c r="C193" s="183" t="s">
        <v>510</v>
      </c>
      <c r="D193" s="184">
        <v>1.8</v>
      </c>
      <c r="E193" s="185">
        <v>1.1</v>
      </c>
      <c r="F193" s="185"/>
      <c r="G193" s="212">
        <v>1</v>
      </c>
      <c r="H193" s="186">
        <f>G193*E193*D193</f>
        <v>1.98</v>
      </c>
      <c r="I193" s="220"/>
    </row>
    <row r="194" s="127" customFormat="1" spans="1:9">
      <c r="A194" s="181"/>
      <c r="B194" s="182"/>
      <c r="C194" s="183"/>
      <c r="D194" s="184"/>
      <c r="E194" s="185"/>
      <c r="F194" s="185"/>
      <c r="G194" s="212"/>
      <c r="H194" s="186"/>
      <c r="I194" s="220"/>
    </row>
    <row r="195" s="127" customFormat="1" ht="51" spans="1:9">
      <c r="A195" s="235" t="s">
        <v>127</v>
      </c>
      <c r="B195" s="236" t="str">
        <f>VLOOKUP(A195,Planilha!$A$11:$I$39026,4,FALSE)</f>
        <v>Janela de correr para vidro em alumínio anodizado cor natural, linha 25, completa, incl. puxador com tranca, alizar, caixilho e contramarco, exclusive vidro</v>
      </c>
      <c r="C195" s="237" t="str">
        <f>VLOOKUP($A195,Planilha!$A$11:$I$39026,5,FALSE)</f>
        <v>m²</v>
      </c>
      <c r="D195" s="238" t="s">
        <v>405</v>
      </c>
      <c r="E195" s="239" t="s">
        <v>436</v>
      </c>
      <c r="F195" s="239" t="s">
        <v>507</v>
      </c>
      <c r="G195" s="239" t="s">
        <v>494</v>
      </c>
      <c r="H195" s="240" t="s">
        <v>409</v>
      </c>
      <c r="I195" s="242">
        <f>SUM(H196:H200)</f>
        <v>45.14</v>
      </c>
    </row>
    <row r="196" s="127" customFormat="1" spans="1:9">
      <c r="A196" s="181"/>
      <c r="B196" s="182" t="s">
        <v>410</v>
      </c>
      <c r="C196" s="183" t="s">
        <v>511</v>
      </c>
      <c r="D196" s="184">
        <v>1.8</v>
      </c>
      <c r="E196" s="185">
        <v>1.2</v>
      </c>
      <c r="F196" s="185"/>
      <c r="G196" s="212">
        <v>8</v>
      </c>
      <c r="H196" s="186">
        <f t="shared" ref="H196:H200" si="12">G196*E196*D196</f>
        <v>17.28</v>
      </c>
      <c r="I196" s="220"/>
    </row>
    <row r="197" s="127" customFormat="1" spans="1:9">
      <c r="A197" s="181"/>
      <c r="B197" s="182"/>
      <c r="C197" s="183" t="s">
        <v>496</v>
      </c>
      <c r="D197" s="184">
        <v>1.8</v>
      </c>
      <c r="E197" s="185">
        <v>1.4</v>
      </c>
      <c r="F197" s="185"/>
      <c r="G197" s="245">
        <v>8</v>
      </c>
      <c r="H197" s="186">
        <f t="shared" si="12"/>
        <v>20.16</v>
      </c>
      <c r="I197" s="220"/>
    </row>
    <row r="198" s="127" customFormat="1" spans="1:9">
      <c r="A198" s="181"/>
      <c r="B198" s="182"/>
      <c r="C198" s="183" t="s">
        <v>497</v>
      </c>
      <c r="D198" s="184">
        <v>2</v>
      </c>
      <c r="E198" s="185">
        <v>1.2</v>
      </c>
      <c r="F198" s="185"/>
      <c r="G198" s="245">
        <v>2</v>
      </c>
      <c r="H198" s="186">
        <f t="shared" si="12"/>
        <v>4.8</v>
      </c>
      <c r="I198" s="220"/>
    </row>
    <row r="199" s="127" customFormat="1" spans="1:9">
      <c r="A199" s="181"/>
      <c r="B199" s="182"/>
      <c r="C199" s="183" t="s">
        <v>498</v>
      </c>
      <c r="D199" s="198">
        <v>1.6</v>
      </c>
      <c r="E199" s="233">
        <v>0.6</v>
      </c>
      <c r="F199" s="211"/>
      <c r="G199" s="212">
        <v>2</v>
      </c>
      <c r="H199" s="186">
        <f t="shared" si="12"/>
        <v>1.92</v>
      </c>
      <c r="I199" s="220"/>
    </row>
    <row r="200" s="127" customFormat="1" spans="1:9">
      <c r="A200" s="181"/>
      <c r="B200" s="182"/>
      <c r="C200" s="183" t="s">
        <v>510</v>
      </c>
      <c r="D200" s="198">
        <v>1.4</v>
      </c>
      <c r="E200" s="233">
        <v>0.7</v>
      </c>
      <c r="F200" s="211"/>
      <c r="G200" s="212">
        <v>1</v>
      </c>
      <c r="H200" s="186">
        <f t="shared" si="12"/>
        <v>0.98</v>
      </c>
      <c r="I200" s="220"/>
    </row>
    <row r="201" spans="1:9">
      <c r="A201" s="187"/>
      <c r="B201" s="187"/>
      <c r="C201" s="188"/>
      <c r="D201" s="189"/>
      <c r="E201" s="187"/>
      <c r="F201" s="187"/>
      <c r="G201" s="190"/>
      <c r="H201" s="191"/>
      <c r="I201" s="187"/>
    </row>
    <row r="202" s="127" customFormat="1" ht="51" spans="1:9">
      <c r="A202" s="235" t="s">
        <v>130</v>
      </c>
      <c r="B202" s="236" t="str">
        <f>VLOOKUP(A202,Planilha!$A$11:$I$39026,4,FALSE)</f>
        <v>Janela tipo maxim-ar para vidro em alumínio anodizado natural, linha 25, completa, incl. puxador com tranca, caixilho, alizar e contramarco, exclusive vidro</v>
      </c>
      <c r="C202" s="237" t="str">
        <f>VLOOKUP($A202,Planilha!$A$11:$I$39026,5,FALSE)</f>
        <v>m²</v>
      </c>
      <c r="D202" s="238" t="s">
        <v>405</v>
      </c>
      <c r="E202" s="239" t="s">
        <v>436</v>
      </c>
      <c r="F202" s="239" t="s">
        <v>507</v>
      </c>
      <c r="G202" s="239" t="s">
        <v>494</v>
      </c>
      <c r="H202" s="240" t="s">
        <v>409</v>
      </c>
      <c r="I202" s="242">
        <f>SUM(H203:H204)</f>
        <v>0.97</v>
      </c>
    </row>
    <row r="203" s="127" customFormat="1" spans="1:9">
      <c r="A203" s="181"/>
      <c r="B203" s="182" t="s">
        <v>410</v>
      </c>
      <c r="C203" s="183" t="s">
        <v>512</v>
      </c>
      <c r="D203" s="198">
        <v>0.6</v>
      </c>
      <c r="E203" s="211">
        <v>0.6</v>
      </c>
      <c r="F203" s="233"/>
      <c r="G203" s="234">
        <v>2</v>
      </c>
      <c r="H203" s="186">
        <f t="shared" ref="H203:H208" si="13">E203*D203*G203</f>
        <v>0.72</v>
      </c>
      <c r="I203" s="242"/>
    </row>
    <row r="204" s="127" customFormat="1" spans="1:9">
      <c r="A204" s="211"/>
      <c r="B204" s="182"/>
      <c r="C204" s="183" t="s">
        <v>513</v>
      </c>
      <c r="D204" s="198">
        <v>0.5</v>
      </c>
      <c r="E204" s="211">
        <v>0.5</v>
      </c>
      <c r="F204" s="211"/>
      <c r="G204" s="212">
        <v>1</v>
      </c>
      <c r="H204" s="186">
        <f t="shared" si="13"/>
        <v>0.25</v>
      </c>
      <c r="I204" s="211"/>
    </row>
    <row r="205" s="127" customFormat="1" spans="1:9">
      <c r="A205" s="211"/>
      <c r="B205" s="211"/>
      <c r="C205" s="183"/>
      <c r="D205" s="198"/>
      <c r="E205" s="211"/>
      <c r="F205" s="211"/>
      <c r="G205" s="212"/>
      <c r="H205" s="186"/>
      <c r="I205" s="211"/>
    </row>
    <row r="206" s="127" customFormat="1" ht="25.5" spans="1:9">
      <c r="A206" s="175" t="s">
        <v>133</v>
      </c>
      <c r="B206" s="176" t="str">
        <f>VLOOKUP(A206,Planilha!$A$11:$I$39026,4,FALSE)</f>
        <v>Portão de ferro de abrir em barra chata, inclusive chumbmento</v>
      </c>
      <c r="C206" s="177" t="str">
        <f>VLOOKUP($A206,Planilha!$A$11:$I$39026,5,FALSE)</f>
        <v>m²</v>
      </c>
      <c r="D206" s="178" t="s">
        <v>405</v>
      </c>
      <c r="E206" s="179" t="s">
        <v>436</v>
      </c>
      <c r="F206" s="179" t="s">
        <v>507</v>
      </c>
      <c r="G206" s="179" t="s">
        <v>494</v>
      </c>
      <c r="H206" s="180" t="s">
        <v>409</v>
      </c>
      <c r="I206" s="219">
        <f>SUM(H207:H208)</f>
        <v>5.88</v>
      </c>
    </row>
    <row r="207" s="127" customFormat="1" spans="1:9">
      <c r="A207" s="181"/>
      <c r="B207" s="182" t="s">
        <v>410</v>
      </c>
      <c r="C207" s="183" t="s">
        <v>514</v>
      </c>
      <c r="D207" s="198">
        <v>0.8</v>
      </c>
      <c r="E207" s="211">
        <v>2.1</v>
      </c>
      <c r="F207" s="233"/>
      <c r="G207" s="234">
        <v>2</v>
      </c>
      <c r="H207" s="186">
        <f t="shared" si="13"/>
        <v>3.36</v>
      </c>
      <c r="I207" s="219"/>
    </row>
    <row r="208" s="127" customFormat="1" ht="30" spans="1:9">
      <c r="A208" s="181"/>
      <c r="B208" s="182"/>
      <c r="C208" s="183" t="s">
        <v>515</v>
      </c>
      <c r="D208" s="198">
        <v>1.2</v>
      </c>
      <c r="E208" s="211">
        <v>2.1</v>
      </c>
      <c r="F208" s="233"/>
      <c r="G208" s="234">
        <v>1</v>
      </c>
      <c r="H208" s="186">
        <f t="shared" si="13"/>
        <v>2.52</v>
      </c>
      <c r="I208" s="220"/>
    </row>
    <row r="209" s="127" customFormat="1" spans="1:9">
      <c r="A209" s="181"/>
      <c r="B209" s="182"/>
      <c r="C209" s="183"/>
      <c r="D209" s="198"/>
      <c r="E209" s="211"/>
      <c r="F209" s="233"/>
      <c r="G209" s="234"/>
      <c r="H209" s="186"/>
      <c r="I209" s="220"/>
    </row>
    <row r="210" s="127" customFormat="1" ht="38.25" spans="1:9">
      <c r="A210" s="175" t="s">
        <v>136</v>
      </c>
      <c r="B210" s="176" t="str">
        <f>VLOOKUP(A210,Planilha!$A$11:$I$39026,4,FALSE)</f>
        <v>Grade de tela tipo mosquiteiro de arame galvanizado #18, fio 32, inclusive, requadro em cantoneira de ferro 1/8"x1/2"x1/2"</v>
      </c>
      <c r="C210" s="177" t="str">
        <f>VLOOKUP($A210,Planilha!$A$11:$I$39026,5,FALSE)</f>
        <v>m²</v>
      </c>
      <c r="D210" s="178" t="s">
        <v>405</v>
      </c>
      <c r="E210" s="179" t="s">
        <v>436</v>
      </c>
      <c r="F210" s="179" t="s">
        <v>507</v>
      </c>
      <c r="G210" s="179" t="s">
        <v>494</v>
      </c>
      <c r="H210" s="180" t="s">
        <v>409</v>
      </c>
      <c r="I210" s="219">
        <f>SUM(H211:H213)</f>
        <v>3.25</v>
      </c>
    </row>
    <row r="211" s="127" customFormat="1" spans="1:9">
      <c r="A211" s="181"/>
      <c r="B211" s="182" t="s">
        <v>410</v>
      </c>
      <c r="C211" s="183" t="s">
        <v>499</v>
      </c>
      <c r="D211" s="198">
        <v>0.7</v>
      </c>
      <c r="E211" s="211">
        <v>2.1</v>
      </c>
      <c r="F211" s="233"/>
      <c r="G211" s="234">
        <v>1</v>
      </c>
      <c r="H211" s="186">
        <f>E211*D211*G211</f>
        <v>1.47</v>
      </c>
      <c r="I211" s="219"/>
    </row>
    <row r="212" s="127" customFormat="1" spans="1:9">
      <c r="A212" s="181"/>
      <c r="B212" s="182"/>
      <c r="C212" s="183" t="s">
        <v>510</v>
      </c>
      <c r="D212" s="198">
        <v>1.4</v>
      </c>
      <c r="E212" s="211">
        <v>0.7</v>
      </c>
      <c r="F212" s="233"/>
      <c r="G212" s="234">
        <v>1</v>
      </c>
      <c r="H212" s="186">
        <f>E212*D212*G212</f>
        <v>0.98</v>
      </c>
      <c r="I212" s="220"/>
    </row>
    <row r="213" s="127" customFormat="1" spans="1:9">
      <c r="A213" s="181"/>
      <c r="B213" s="182"/>
      <c r="C213" s="183" t="s">
        <v>516</v>
      </c>
      <c r="D213" s="198">
        <v>1</v>
      </c>
      <c r="E213" s="211">
        <v>0.8</v>
      </c>
      <c r="F213" s="233"/>
      <c r="G213" s="234">
        <v>1</v>
      </c>
      <c r="H213" s="186">
        <f>E213*D213*G213</f>
        <v>0.8</v>
      </c>
      <c r="I213" s="220"/>
    </row>
    <row r="214" spans="1:9">
      <c r="A214" s="187"/>
      <c r="B214" s="187"/>
      <c r="C214" s="188"/>
      <c r="D214" s="189"/>
      <c r="E214" s="187"/>
      <c r="F214" s="187"/>
      <c r="G214" s="190"/>
      <c r="H214" s="191"/>
      <c r="I214" s="187"/>
    </row>
    <row r="215" s="127" customFormat="1" ht="25.5" spans="1:9">
      <c r="A215" s="246" t="s">
        <v>141</v>
      </c>
      <c r="B215" s="236" t="str">
        <f>VLOOKUP(A215,Planilha!$A$11:$I$39026,4,FALSE)</f>
        <v>Vidro plano transparente liso, com 4 mm de espessura</v>
      </c>
      <c r="C215" s="237" t="str">
        <f>VLOOKUP($A215,Planilha!$A$11:$I$39026,5,FALSE)</f>
        <v>m²</v>
      </c>
      <c r="D215" s="247" t="s">
        <v>405</v>
      </c>
      <c r="E215" s="248" t="s">
        <v>407</v>
      </c>
      <c r="F215" s="248" t="s">
        <v>517</v>
      </c>
      <c r="G215" s="248" t="s">
        <v>494</v>
      </c>
      <c r="H215" s="249" t="s">
        <v>457</v>
      </c>
      <c r="I215" s="242">
        <f>SUM(H216:H220)</f>
        <v>32.55</v>
      </c>
    </row>
    <row r="216" s="127" customFormat="1" spans="1:9">
      <c r="A216" s="181"/>
      <c r="B216" s="182" t="s">
        <v>410</v>
      </c>
      <c r="C216" s="183" t="s">
        <v>511</v>
      </c>
      <c r="D216" s="184">
        <v>1.8</v>
      </c>
      <c r="E216" s="185">
        <v>1.2</v>
      </c>
      <c r="F216" s="185">
        <f t="shared" ref="F216:F220" si="14">(D216-0.3)*(E216-0.1)</f>
        <v>1.65</v>
      </c>
      <c r="G216" s="245">
        <v>8</v>
      </c>
      <c r="H216" s="186">
        <f t="shared" ref="H216:H220" si="15">F216*G216</f>
        <v>13.2</v>
      </c>
      <c r="I216" s="242"/>
    </row>
    <row r="217" s="127" customFormat="1" spans="1:9">
      <c r="A217" s="211"/>
      <c r="B217" s="182" t="s">
        <v>508</v>
      </c>
      <c r="C217" s="183" t="s">
        <v>496</v>
      </c>
      <c r="D217" s="184">
        <v>1.8</v>
      </c>
      <c r="E217" s="185">
        <v>1.4</v>
      </c>
      <c r="F217" s="185">
        <f t="shared" si="14"/>
        <v>1.95</v>
      </c>
      <c r="G217" s="245">
        <v>7</v>
      </c>
      <c r="H217" s="186">
        <f t="shared" si="15"/>
        <v>13.65</v>
      </c>
      <c r="I217" s="211"/>
    </row>
    <row r="218" s="127" customFormat="1" spans="1:9">
      <c r="A218" s="211"/>
      <c r="B218" s="211"/>
      <c r="C218" s="183" t="s">
        <v>497</v>
      </c>
      <c r="D218" s="198">
        <v>2</v>
      </c>
      <c r="E218" s="211">
        <v>1.2</v>
      </c>
      <c r="F218" s="185">
        <f t="shared" si="14"/>
        <v>1.87</v>
      </c>
      <c r="G218" s="212">
        <v>2</v>
      </c>
      <c r="H218" s="186">
        <f t="shared" si="15"/>
        <v>3.74</v>
      </c>
      <c r="I218" s="211"/>
    </row>
    <row r="219" s="127" customFormat="1" spans="1:9">
      <c r="A219" s="211"/>
      <c r="B219" s="211"/>
      <c r="C219" s="183" t="s">
        <v>498</v>
      </c>
      <c r="D219" s="198">
        <v>1.6</v>
      </c>
      <c r="E219" s="211">
        <v>0.6</v>
      </c>
      <c r="F219" s="185">
        <f t="shared" si="14"/>
        <v>0.65</v>
      </c>
      <c r="G219" s="212">
        <v>2</v>
      </c>
      <c r="H219" s="186">
        <f t="shared" si="15"/>
        <v>1.3</v>
      </c>
      <c r="I219" s="211"/>
    </row>
    <row r="220" s="127" customFormat="1" spans="1:9">
      <c r="A220" s="211"/>
      <c r="B220" s="211"/>
      <c r="C220" s="183" t="s">
        <v>510</v>
      </c>
      <c r="D220" s="198">
        <v>1.4</v>
      </c>
      <c r="E220" s="211">
        <v>0.7</v>
      </c>
      <c r="F220" s="185">
        <f t="shared" si="14"/>
        <v>0.66</v>
      </c>
      <c r="G220" s="212">
        <v>1</v>
      </c>
      <c r="H220" s="186">
        <f t="shared" si="15"/>
        <v>0.66</v>
      </c>
      <c r="I220" s="211"/>
    </row>
    <row r="221" s="127" customFormat="1" spans="1:9">
      <c r="A221" s="211"/>
      <c r="B221" s="211"/>
      <c r="C221" s="183"/>
      <c r="D221" s="198"/>
      <c r="E221" s="211"/>
      <c r="F221" s="211"/>
      <c r="G221" s="212"/>
      <c r="H221" s="207"/>
      <c r="I221" s="211"/>
    </row>
    <row r="222" s="127" customFormat="1" ht="25.5" spans="1:9">
      <c r="A222" s="235" t="s">
        <v>144</v>
      </c>
      <c r="B222" s="236" t="str">
        <f>VLOOKUP(A222,Planilha!$A$11:$I$39026,4,FALSE)</f>
        <v>Vidro fantasia mini-boreal, com 4 mm de espessura</v>
      </c>
      <c r="C222" s="237" t="str">
        <f>VLOOKUP($A222,Planilha!$A$11:$I$39026,5,FALSE)</f>
        <v>m²</v>
      </c>
      <c r="D222" s="238" t="s">
        <v>405</v>
      </c>
      <c r="E222" s="239" t="s">
        <v>407</v>
      </c>
      <c r="F222" s="239" t="s">
        <v>517</v>
      </c>
      <c r="G222" s="239" t="s">
        <v>494</v>
      </c>
      <c r="H222" s="240" t="s">
        <v>457</v>
      </c>
      <c r="I222" s="242">
        <f>SUM(H223:H224)</f>
        <v>0.66</v>
      </c>
    </row>
    <row r="223" s="127" customFormat="1" spans="1:9">
      <c r="A223" s="211"/>
      <c r="B223" s="182" t="s">
        <v>410</v>
      </c>
      <c r="C223" s="183" t="s">
        <v>512</v>
      </c>
      <c r="D223" s="198">
        <v>0.6</v>
      </c>
      <c r="E223" s="211">
        <v>0.6</v>
      </c>
      <c r="F223" s="250">
        <f>(D223-0.1)*(E223-0.1)</f>
        <v>0.25</v>
      </c>
      <c r="G223" s="212">
        <v>2</v>
      </c>
      <c r="H223" s="186">
        <f>F223*G223</f>
        <v>0.5</v>
      </c>
      <c r="I223" s="242"/>
    </row>
    <row r="224" s="127" customFormat="1" spans="1:9">
      <c r="A224" s="211"/>
      <c r="B224" s="182" t="s">
        <v>508</v>
      </c>
      <c r="C224" s="183" t="s">
        <v>513</v>
      </c>
      <c r="D224" s="198">
        <v>0.5</v>
      </c>
      <c r="E224" s="211">
        <v>0.5</v>
      </c>
      <c r="F224" s="250">
        <f>(D224-0.1)*(E224-0.1)</f>
        <v>0.16</v>
      </c>
      <c r="G224" s="234">
        <v>1</v>
      </c>
      <c r="H224" s="186">
        <f>F224*G224</f>
        <v>0.16</v>
      </c>
      <c r="I224" s="211"/>
    </row>
    <row r="225" spans="1:9">
      <c r="A225" s="187"/>
      <c r="B225" s="187"/>
      <c r="C225" s="188"/>
      <c r="D225" s="189"/>
      <c r="E225" s="187"/>
      <c r="F225" s="187"/>
      <c r="G225" s="190"/>
      <c r="H225" s="191"/>
      <c r="I225" s="187"/>
    </row>
    <row r="226" s="127" customFormat="1" ht="25.5" spans="1:9">
      <c r="A226" s="175" t="s">
        <v>149</v>
      </c>
      <c r="B226" s="176" t="str">
        <f>VLOOKUP(A226,Planilha!$A$11:$I$39026,4,FALSE)</f>
        <v>Chapisco de argamassa de cimento e areia média ou grossa lavada, no traço 1:3, espessura 5 mm</v>
      </c>
      <c r="C226" s="177" t="str">
        <f>VLOOKUP($A226,Planilha!$A$11:$I$39026,5,FALSE)</f>
        <v>m²</v>
      </c>
      <c r="D226" s="178" t="s">
        <v>405</v>
      </c>
      <c r="E226" s="179" t="s">
        <v>436</v>
      </c>
      <c r="F226" s="179" t="s">
        <v>518</v>
      </c>
      <c r="G226" s="179" t="s">
        <v>431</v>
      </c>
      <c r="H226" s="180" t="s">
        <v>409</v>
      </c>
      <c r="I226" s="219">
        <f>SUM(H227:H240)</f>
        <v>216.258</v>
      </c>
    </row>
    <row r="227" s="127" customFormat="1" spans="1:9">
      <c r="A227" s="211"/>
      <c r="B227" s="182" t="s">
        <v>410</v>
      </c>
      <c r="C227" s="183" t="s">
        <v>519</v>
      </c>
      <c r="D227" s="184">
        <f>2.85+3.95</f>
        <v>6.8</v>
      </c>
      <c r="E227" s="185">
        <v>1.6</v>
      </c>
      <c r="F227" s="185" t="s">
        <v>520</v>
      </c>
      <c r="G227" s="212">
        <f>(1.2*1.8-2)*2</f>
        <v>0.32</v>
      </c>
      <c r="H227" s="186">
        <f>(SUM(D227:E227)-G227)*2</f>
        <v>16.16</v>
      </c>
      <c r="I227" s="219"/>
    </row>
    <row r="228" s="127" customFormat="1" spans="1:9">
      <c r="A228" s="211"/>
      <c r="B228" s="182"/>
      <c r="C228" s="183"/>
      <c r="D228" s="184"/>
      <c r="E228" s="185"/>
      <c r="F228" s="185"/>
      <c r="G228" s="206" t="s">
        <v>521</v>
      </c>
      <c r="H228" s="186"/>
      <c r="I228" s="211"/>
    </row>
    <row r="229" s="127" customFormat="1" spans="1:9">
      <c r="A229" s="211"/>
      <c r="B229" s="211"/>
      <c r="C229" s="183" t="s">
        <v>502</v>
      </c>
      <c r="D229" s="184"/>
      <c r="E229" s="185"/>
      <c r="F229" s="185" t="s">
        <v>520</v>
      </c>
      <c r="G229" s="185">
        <v>6.72</v>
      </c>
      <c r="H229" s="186">
        <f>G229*2</f>
        <v>13.44</v>
      </c>
      <c r="I229" s="211"/>
    </row>
    <row r="230" s="127" customFormat="1" spans="1:9">
      <c r="A230" s="211"/>
      <c r="B230" s="211"/>
      <c r="C230" s="183" t="s">
        <v>503</v>
      </c>
      <c r="D230" s="194">
        <f>1.65+1.3</f>
        <v>2.95</v>
      </c>
      <c r="E230" s="194">
        <v>3</v>
      </c>
      <c r="F230" s="194" t="s">
        <v>520</v>
      </c>
      <c r="G230" s="194"/>
      <c r="H230" s="186">
        <f>SUM(D230:E230)*2-G230</f>
        <v>11.9</v>
      </c>
      <c r="I230" s="211"/>
    </row>
    <row r="231" s="127" customFormat="1" spans="1:9">
      <c r="A231" s="211"/>
      <c r="B231" s="211"/>
      <c r="C231" s="251" t="s">
        <v>522</v>
      </c>
      <c r="D231" s="252"/>
      <c r="E231" s="253"/>
      <c r="F231" s="253"/>
      <c r="G231" s="254"/>
      <c r="H231" s="255"/>
      <c r="I231" s="211"/>
    </row>
    <row r="232" s="127" customFormat="1" spans="1:9">
      <c r="A232" s="211"/>
      <c r="B232" s="211"/>
      <c r="C232" s="256"/>
      <c r="D232" s="184" t="s">
        <v>405</v>
      </c>
      <c r="E232" s="185" t="s">
        <v>407</v>
      </c>
      <c r="F232" s="185" t="s">
        <v>406</v>
      </c>
      <c r="G232" s="185" t="s">
        <v>431</v>
      </c>
      <c r="H232" s="257"/>
      <c r="I232" s="211"/>
    </row>
    <row r="233" s="127" customFormat="1" spans="1:9">
      <c r="A233" s="211"/>
      <c r="B233" s="211"/>
      <c r="C233" s="183" t="s">
        <v>414</v>
      </c>
      <c r="D233" s="184">
        <v>6</v>
      </c>
      <c r="E233" s="185">
        <v>1.1</v>
      </c>
      <c r="F233" s="185">
        <v>7.95</v>
      </c>
      <c r="G233" s="185"/>
      <c r="H233" s="186">
        <f>((2*D233+2*F233-G233)*E233)</f>
        <v>30.69</v>
      </c>
      <c r="I233" s="211"/>
    </row>
    <row r="234" s="127" customFormat="1" spans="1:9">
      <c r="A234" s="211"/>
      <c r="B234" s="211"/>
      <c r="C234" s="183" t="s">
        <v>416</v>
      </c>
      <c r="D234" s="184">
        <v>8</v>
      </c>
      <c r="E234" s="185">
        <v>1.1</v>
      </c>
      <c r="F234" s="185">
        <v>6</v>
      </c>
      <c r="G234" s="185"/>
      <c r="H234" s="186">
        <f>2*((2*D234+2*F234-G234)*E234)</f>
        <v>61.6</v>
      </c>
      <c r="I234" s="211"/>
    </row>
    <row r="235" s="127" customFormat="1" spans="1:9">
      <c r="A235" s="211"/>
      <c r="B235" s="211"/>
      <c r="C235" s="183" t="s">
        <v>418</v>
      </c>
      <c r="D235" s="198">
        <v>6</v>
      </c>
      <c r="E235" s="233">
        <v>1.1</v>
      </c>
      <c r="F235" s="211">
        <v>7.05</v>
      </c>
      <c r="G235" s="199">
        <f>2.95*1.1-2</f>
        <v>1.245</v>
      </c>
      <c r="H235" s="186">
        <f>((2*D235+2*F235)*E235)-G235</f>
        <v>27.465</v>
      </c>
      <c r="I235" s="211"/>
    </row>
    <row r="236" s="127" customFormat="1" spans="1:9">
      <c r="A236" s="211"/>
      <c r="B236" s="211"/>
      <c r="C236" s="183" t="s">
        <v>420</v>
      </c>
      <c r="D236" s="198">
        <v>2.95</v>
      </c>
      <c r="E236" s="233">
        <v>1.1</v>
      </c>
      <c r="F236" s="211">
        <v>2.55</v>
      </c>
      <c r="G236" s="199">
        <f>2.95*1.1-2</f>
        <v>1.245</v>
      </c>
      <c r="H236" s="186">
        <f>((2*D236+2*F236)*E236)-G236</f>
        <v>10.855</v>
      </c>
      <c r="I236" s="211"/>
    </row>
    <row r="237" s="127" customFormat="1" spans="1:9">
      <c r="A237" s="211"/>
      <c r="B237" s="211"/>
      <c r="C237" s="183" t="s">
        <v>421</v>
      </c>
      <c r="D237" s="198">
        <v>2.95</v>
      </c>
      <c r="E237" s="233">
        <v>1.1</v>
      </c>
      <c r="F237" s="233">
        <v>1.7</v>
      </c>
      <c r="G237" s="199"/>
      <c r="H237" s="186">
        <f>((2*D237+2*F237)*E237)-G237</f>
        <v>10.23</v>
      </c>
      <c r="I237" s="211"/>
    </row>
    <row r="238" s="127" customFormat="1" spans="1:9">
      <c r="A238" s="211"/>
      <c r="B238" s="211"/>
      <c r="C238" s="183" t="s">
        <v>422</v>
      </c>
      <c r="D238" s="198">
        <v>3.9</v>
      </c>
      <c r="E238" s="202">
        <v>1.1</v>
      </c>
      <c r="F238" s="202">
        <v>2.6</v>
      </c>
      <c r="G238" s="199"/>
      <c r="H238" s="186">
        <f>((2*D238+1*F238-G238)*E238)</f>
        <v>11.44</v>
      </c>
      <c r="I238" s="211"/>
    </row>
    <row r="239" s="127" customFormat="1" spans="1:9">
      <c r="A239" s="211"/>
      <c r="B239" s="211"/>
      <c r="C239" s="183" t="s">
        <v>423</v>
      </c>
      <c r="D239" s="198">
        <v>3.8</v>
      </c>
      <c r="E239" s="202">
        <v>1.1</v>
      </c>
      <c r="F239" s="202">
        <v>5.85</v>
      </c>
      <c r="G239" s="199"/>
      <c r="H239" s="186">
        <f>((2*D239+2*F239-G239)*E239)</f>
        <v>21.23</v>
      </c>
      <c r="I239" s="211"/>
    </row>
    <row r="240" s="127" customFormat="1" spans="1:9">
      <c r="A240" s="211"/>
      <c r="B240" s="211"/>
      <c r="C240" s="183" t="s">
        <v>523</v>
      </c>
      <c r="D240" s="198">
        <f>1.2+8+1.2</f>
        <v>10.4</v>
      </c>
      <c r="E240" s="202">
        <v>0.12</v>
      </c>
      <c r="F240" s="202"/>
      <c r="G240" s="199"/>
      <c r="H240" s="186">
        <f>D240*E240</f>
        <v>1.248</v>
      </c>
      <c r="I240" s="211"/>
    </row>
    <row r="241" spans="1:9">
      <c r="A241" s="187"/>
      <c r="B241" s="187"/>
      <c r="C241" s="188"/>
      <c r="D241" s="189"/>
      <c r="E241" s="187"/>
      <c r="F241" s="187"/>
      <c r="G241" s="190"/>
      <c r="H241" s="191"/>
      <c r="I241" s="187"/>
    </row>
    <row r="242" s="127" customFormat="1" ht="51" spans="1:9">
      <c r="A242" s="175" t="s">
        <v>151</v>
      </c>
      <c r="B242" s="176" t="str">
        <f>VLOOKUP(A242,Planilha!$A$11:$I$39026,4,FALSE)</f>
        <v>Azulejo branco 15 x 15 cm, juntas a prumo, assentado com argamassa de cimento colante, inclusive rejuntamento com cimento branco, marcas de referência Eliane, Cecrisa ou Portobello</v>
      </c>
      <c r="C242" s="177" t="str">
        <f>VLOOKUP($A242,Planilha!$A$11:$I$39026,5,FALSE)</f>
        <v>m²</v>
      </c>
      <c r="D242" s="178" t="s">
        <v>405</v>
      </c>
      <c r="E242" s="179" t="s">
        <v>407</v>
      </c>
      <c r="F242" s="179" t="s">
        <v>406</v>
      </c>
      <c r="G242" s="179" t="s">
        <v>413</v>
      </c>
      <c r="H242" s="180" t="s">
        <v>409</v>
      </c>
      <c r="I242" s="219">
        <f>SUM(H243:H252)</f>
        <v>164.57</v>
      </c>
    </row>
    <row r="243" s="127" customFormat="1" spans="1:9">
      <c r="A243" s="211"/>
      <c r="B243" s="211"/>
      <c r="C243" s="251" t="s">
        <v>522</v>
      </c>
      <c r="D243" s="252"/>
      <c r="E243" s="253"/>
      <c r="F243" s="253"/>
      <c r="G243" s="254"/>
      <c r="H243" s="255"/>
      <c r="I243" s="219"/>
    </row>
    <row r="244" s="127" customFormat="1" spans="1:9">
      <c r="A244" s="211"/>
      <c r="B244" s="182" t="s">
        <v>410</v>
      </c>
      <c r="C244" s="183" t="s">
        <v>414</v>
      </c>
      <c r="D244" s="258">
        <v>6</v>
      </c>
      <c r="E244" s="259">
        <v>1.1</v>
      </c>
      <c r="F244" s="259">
        <v>7.95</v>
      </c>
      <c r="G244" s="183">
        <v>0.8</v>
      </c>
      <c r="H244" s="260">
        <f t="shared" ref="H244:H250" si="16">((2*D244+2*F244-G244)*E244)</f>
        <v>29.81</v>
      </c>
      <c r="I244" s="211"/>
    </row>
    <row r="245" s="127" customFormat="1" spans="1:9">
      <c r="A245" s="211"/>
      <c r="B245" s="211"/>
      <c r="C245" s="183" t="s">
        <v>416</v>
      </c>
      <c r="D245" s="258">
        <v>8</v>
      </c>
      <c r="E245" s="259">
        <v>1.1</v>
      </c>
      <c r="F245" s="261">
        <v>6</v>
      </c>
      <c r="G245" s="183">
        <v>0.8</v>
      </c>
      <c r="H245" s="260">
        <f>2*((2*D245+2*F245-G245)*E245)</f>
        <v>59.84</v>
      </c>
      <c r="I245" s="211"/>
    </row>
    <row r="246" s="127" customFormat="1" spans="1:9">
      <c r="A246" s="211"/>
      <c r="B246" s="211"/>
      <c r="C246" s="183" t="s">
        <v>418</v>
      </c>
      <c r="D246" s="258">
        <v>6</v>
      </c>
      <c r="E246" s="259">
        <v>1.1</v>
      </c>
      <c r="F246" s="259">
        <v>7.05</v>
      </c>
      <c r="G246" s="183">
        <f>1.45+2.95+1.5</f>
        <v>5.9</v>
      </c>
      <c r="H246" s="260">
        <f t="shared" si="16"/>
        <v>22.22</v>
      </c>
      <c r="I246" s="211"/>
    </row>
    <row r="247" s="127" customFormat="1" spans="1:9">
      <c r="A247" s="211"/>
      <c r="B247" s="211"/>
      <c r="C247" s="183" t="s">
        <v>420</v>
      </c>
      <c r="D247" s="258">
        <v>2.95</v>
      </c>
      <c r="E247" s="259">
        <v>1.1</v>
      </c>
      <c r="F247" s="259">
        <v>2.55</v>
      </c>
      <c r="G247" s="183">
        <f>2.95+0.85+1.6</f>
        <v>5.4</v>
      </c>
      <c r="H247" s="260">
        <f t="shared" si="16"/>
        <v>6.16</v>
      </c>
      <c r="I247" s="211"/>
    </row>
    <row r="248" s="127" customFormat="1" spans="1:9">
      <c r="A248" s="211"/>
      <c r="B248" s="211"/>
      <c r="C248" s="183" t="s">
        <v>421</v>
      </c>
      <c r="D248" s="258">
        <v>2.95</v>
      </c>
      <c r="E248" s="259">
        <v>1.1</v>
      </c>
      <c r="F248" s="259">
        <v>1.7</v>
      </c>
      <c r="G248" s="183">
        <f>1.15+1.6</f>
        <v>2.75</v>
      </c>
      <c r="H248" s="260">
        <f t="shared" si="16"/>
        <v>7.205</v>
      </c>
      <c r="I248" s="211"/>
    </row>
    <row r="249" s="127" customFormat="1" spans="1:9">
      <c r="A249" s="211"/>
      <c r="B249" s="211"/>
      <c r="C249" s="183" t="s">
        <v>422</v>
      </c>
      <c r="D249" s="258">
        <v>3.9</v>
      </c>
      <c r="E249" s="259">
        <v>1.1</v>
      </c>
      <c r="F249" s="259">
        <v>2.6</v>
      </c>
      <c r="G249" s="183">
        <f>0.7+0.6</f>
        <v>1.3</v>
      </c>
      <c r="H249" s="260">
        <f>((2*D249+1*F249-G249)*E249)</f>
        <v>10.01</v>
      </c>
      <c r="I249" s="211"/>
    </row>
    <row r="250" s="127" customFormat="1" spans="1:9">
      <c r="A250" s="211"/>
      <c r="B250" s="211"/>
      <c r="C250" s="183" t="s">
        <v>423</v>
      </c>
      <c r="D250" s="258">
        <v>3.8</v>
      </c>
      <c r="E250" s="259">
        <v>1.1</v>
      </c>
      <c r="F250" s="259">
        <v>5.85</v>
      </c>
      <c r="G250" s="183">
        <v>1.6</v>
      </c>
      <c r="H250" s="260">
        <f t="shared" si="16"/>
        <v>19.47</v>
      </c>
      <c r="I250" s="211"/>
    </row>
    <row r="251" s="127" customFormat="1" spans="1:9">
      <c r="A251" s="211"/>
      <c r="B251" s="211"/>
      <c r="C251" s="183" t="s">
        <v>503</v>
      </c>
      <c r="D251" s="194">
        <v>1.65</v>
      </c>
      <c r="E251" s="194">
        <v>3</v>
      </c>
      <c r="F251" s="259">
        <v>1.3</v>
      </c>
      <c r="G251" s="183">
        <f>2.1*0.7</f>
        <v>1.47</v>
      </c>
      <c r="H251" s="260">
        <f>D251*E251+F251*E251-G251</f>
        <v>7.38</v>
      </c>
      <c r="I251" s="211"/>
    </row>
    <row r="252" s="127" customFormat="1" spans="1:9">
      <c r="A252" s="211"/>
      <c r="B252" s="211"/>
      <c r="C252" s="183" t="s">
        <v>524</v>
      </c>
      <c r="D252" s="194">
        <v>1.65</v>
      </c>
      <c r="E252" s="194">
        <v>1.1</v>
      </c>
      <c r="F252" s="259">
        <v>1.3</v>
      </c>
      <c r="G252" s="183">
        <f>1.1*0.7</f>
        <v>0.77</v>
      </c>
      <c r="H252" s="260">
        <f>D252*E252+F252*E252-G252</f>
        <v>2.475</v>
      </c>
      <c r="I252" s="211"/>
    </row>
    <row r="253" spans="1:9">
      <c r="A253" s="187"/>
      <c r="B253" s="187"/>
      <c r="C253" s="188"/>
      <c r="D253" s="189"/>
      <c r="E253" s="187"/>
      <c r="F253" s="187"/>
      <c r="G253" s="190"/>
      <c r="H253" s="191"/>
      <c r="I253" s="187"/>
    </row>
    <row r="254" s="127" customFormat="1" ht="38.25" spans="1:9">
      <c r="A254" s="175" t="s">
        <v>153</v>
      </c>
      <c r="B254" s="176" t="str">
        <f>VLOOKUP(A254,Planilha!$A$11:$I$39026,4,FALSE)</f>
        <v>Emboço de argamassa de cimento, cal hidratada CH1 e areia média ou grossa lavada no traço 1:0.5:6, espessura 20 mm</v>
      </c>
      <c r="C254" s="177" t="str">
        <f>VLOOKUP($A254,Planilha!$A$11:$I$39026,5,FALSE)</f>
        <v>m²</v>
      </c>
      <c r="D254" s="178" t="s">
        <v>405</v>
      </c>
      <c r="E254" s="179" t="s">
        <v>407</v>
      </c>
      <c r="F254" s="179" t="s">
        <v>406</v>
      </c>
      <c r="G254" s="179" t="s">
        <v>413</v>
      </c>
      <c r="H254" s="180" t="s">
        <v>409</v>
      </c>
      <c r="I254" s="219">
        <f>SUM(H255:H264)</f>
        <v>163.14</v>
      </c>
    </row>
    <row r="255" s="127" customFormat="1" spans="1:9">
      <c r="A255" s="211"/>
      <c r="B255" s="211"/>
      <c r="C255" s="251" t="s">
        <v>522</v>
      </c>
      <c r="D255" s="252"/>
      <c r="E255" s="253"/>
      <c r="F255" s="253"/>
      <c r="G255" s="254"/>
      <c r="H255" s="255"/>
      <c r="I255" s="219"/>
    </row>
    <row r="256" s="127" customFormat="1" spans="1:9">
      <c r="A256" s="211"/>
      <c r="B256" s="182" t="s">
        <v>410</v>
      </c>
      <c r="C256" s="244" t="s">
        <v>414</v>
      </c>
      <c r="D256" s="184">
        <v>6</v>
      </c>
      <c r="E256" s="185">
        <v>1.1</v>
      </c>
      <c r="F256" s="185">
        <v>7.95</v>
      </c>
      <c r="G256" s="185">
        <v>0.8</v>
      </c>
      <c r="H256" s="186">
        <f t="shared" ref="H256:H262" si="17">((2*D256+2*F256-G256)*E256)</f>
        <v>29.81</v>
      </c>
      <c r="I256" s="211"/>
    </row>
    <row r="257" s="127" customFormat="1" spans="1:9">
      <c r="A257" s="211"/>
      <c r="B257" s="211"/>
      <c r="C257" s="244" t="s">
        <v>416</v>
      </c>
      <c r="D257" s="184">
        <v>8</v>
      </c>
      <c r="E257" s="185">
        <v>1.1</v>
      </c>
      <c r="F257" s="185">
        <v>6</v>
      </c>
      <c r="G257" s="185">
        <v>0.8</v>
      </c>
      <c r="H257" s="186">
        <f>2*((2*D257+2*F257-G257)*E257)</f>
        <v>59.84</v>
      </c>
      <c r="I257" s="211"/>
    </row>
    <row r="258" s="127" customFormat="1" spans="1:9">
      <c r="A258" s="211"/>
      <c r="B258" s="211"/>
      <c r="C258" s="183" t="s">
        <v>418</v>
      </c>
      <c r="D258" s="198">
        <v>6</v>
      </c>
      <c r="E258" s="233">
        <v>1.1</v>
      </c>
      <c r="F258" s="211">
        <v>7.05</v>
      </c>
      <c r="G258" s="212">
        <f>1.45+2.95+1.5</f>
        <v>5.9</v>
      </c>
      <c r="H258" s="186">
        <f t="shared" si="17"/>
        <v>22.22</v>
      </c>
      <c r="I258" s="211"/>
    </row>
    <row r="259" s="127" customFormat="1" spans="1:9">
      <c r="A259" s="211"/>
      <c r="B259" s="211"/>
      <c r="C259" s="183" t="s">
        <v>420</v>
      </c>
      <c r="D259" s="198">
        <v>2.95</v>
      </c>
      <c r="E259" s="233">
        <v>1.1</v>
      </c>
      <c r="F259" s="211">
        <v>2.55</v>
      </c>
      <c r="G259" s="212">
        <f>2.95+0.85+1.6</f>
        <v>5.4</v>
      </c>
      <c r="H259" s="186">
        <f t="shared" si="17"/>
        <v>6.16</v>
      </c>
      <c r="I259" s="211"/>
    </row>
    <row r="260" s="127" customFormat="1" spans="1:9">
      <c r="A260" s="211"/>
      <c r="B260" s="211"/>
      <c r="C260" s="183" t="s">
        <v>421</v>
      </c>
      <c r="D260" s="198">
        <v>2.95</v>
      </c>
      <c r="E260" s="233">
        <v>1.1</v>
      </c>
      <c r="F260" s="233">
        <v>1.7</v>
      </c>
      <c r="G260" s="212">
        <f>1.15+1.6</f>
        <v>2.75</v>
      </c>
      <c r="H260" s="186">
        <f t="shared" si="17"/>
        <v>7.205</v>
      </c>
      <c r="I260" s="211"/>
    </row>
    <row r="261" s="127" customFormat="1" spans="1:9">
      <c r="A261" s="211"/>
      <c r="B261" s="211"/>
      <c r="C261" s="183" t="s">
        <v>422</v>
      </c>
      <c r="D261" s="198">
        <v>3.9</v>
      </c>
      <c r="E261" s="202">
        <v>1.1</v>
      </c>
      <c r="F261" s="202">
        <v>2.6</v>
      </c>
      <c r="G261" s="199">
        <f>0.7+0.6</f>
        <v>1.3</v>
      </c>
      <c r="H261" s="186">
        <f>((1*D261+2*F261-G261)*E261)</f>
        <v>8.58</v>
      </c>
      <c r="I261" s="211"/>
    </row>
    <row r="262" s="127" customFormat="1" spans="1:9">
      <c r="A262" s="211"/>
      <c r="B262" s="211"/>
      <c r="C262" s="183" t="s">
        <v>423</v>
      </c>
      <c r="D262" s="198">
        <v>3.8</v>
      </c>
      <c r="E262" s="202">
        <v>1.1</v>
      </c>
      <c r="F262" s="202">
        <v>5.85</v>
      </c>
      <c r="G262" s="199">
        <v>1.6</v>
      </c>
      <c r="H262" s="186">
        <f t="shared" si="17"/>
        <v>19.47</v>
      </c>
      <c r="I262" s="211"/>
    </row>
    <row r="263" s="127" customFormat="1" spans="1:9">
      <c r="A263" s="211"/>
      <c r="B263" s="211"/>
      <c r="C263" s="183" t="s">
        <v>503</v>
      </c>
      <c r="D263" s="194">
        <v>1.65</v>
      </c>
      <c r="E263" s="194">
        <v>3</v>
      </c>
      <c r="F263" s="259">
        <v>1.3</v>
      </c>
      <c r="G263" s="183">
        <f>2.1*0.7</f>
        <v>1.47</v>
      </c>
      <c r="H263" s="260">
        <f>D263*E263+F263*E263-G263</f>
        <v>7.38</v>
      </c>
      <c r="I263" s="211"/>
    </row>
    <row r="264" s="127" customFormat="1" spans="1:9">
      <c r="A264" s="211"/>
      <c r="B264" s="211"/>
      <c r="C264" s="183" t="s">
        <v>524</v>
      </c>
      <c r="D264" s="194">
        <v>1.65</v>
      </c>
      <c r="E264" s="194">
        <v>1.1</v>
      </c>
      <c r="F264" s="259">
        <v>1.3</v>
      </c>
      <c r="G264" s="183">
        <f>1.1*0.7</f>
        <v>0.77</v>
      </c>
      <c r="H264" s="260">
        <f>D264*E264+F264*E264-G264</f>
        <v>2.475</v>
      </c>
      <c r="I264" s="211"/>
    </row>
    <row r="265" spans="1:9">
      <c r="A265" s="187"/>
      <c r="B265" s="187"/>
      <c r="C265" s="188"/>
      <c r="D265" s="189"/>
      <c r="E265" s="187"/>
      <c r="F265" s="187"/>
      <c r="G265" s="190"/>
      <c r="H265" s="191"/>
      <c r="I265" s="187"/>
    </row>
    <row r="266" s="127" customFormat="1" ht="38.25" spans="1:9">
      <c r="A266" s="175" t="s">
        <v>155</v>
      </c>
      <c r="B266" s="176" t="str">
        <f>VLOOKUP(A266,Planilha!$A$11:$I$39026,4,FALSE)</f>
        <v>Reboco tipo paulista de argamassa de cimento, cal hidratada CH1 e areia média ou grossa lavada no traço 1:0.5:6, espessura 25 mm</v>
      </c>
      <c r="C266" s="177" t="str">
        <f>VLOOKUP($A266,Planilha!$A$11:$I$39026,5,FALSE)</f>
        <v>m²</v>
      </c>
      <c r="D266" s="178"/>
      <c r="E266" s="179" t="s">
        <v>525</v>
      </c>
      <c r="F266" s="179" t="s">
        <v>526</v>
      </c>
      <c r="G266" s="179"/>
      <c r="H266" s="180" t="s">
        <v>409</v>
      </c>
      <c r="I266" s="219">
        <f>SUM(H267)</f>
        <v>53.118</v>
      </c>
    </row>
    <row r="267" s="127" customFormat="1" spans="1:9">
      <c r="A267" s="211"/>
      <c r="B267" s="182" t="s">
        <v>410</v>
      </c>
      <c r="C267" s="183" t="s">
        <v>527</v>
      </c>
      <c r="D267" s="184"/>
      <c r="E267" s="185">
        <f>I226</f>
        <v>216.258</v>
      </c>
      <c r="F267" s="185">
        <f>I254</f>
        <v>163.14</v>
      </c>
      <c r="G267" s="212"/>
      <c r="H267" s="186">
        <f>E267-F267</f>
        <v>53.118</v>
      </c>
      <c r="I267" s="219"/>
    </row>
    <row r="268" spans="1:9">
      <c r="A268" s="187"/>
      <c r="B268" s="187"/>
      <c r="C268" s="188"/>
      <c r="D268" s="189"/>
      <c r="E268" s="187"/>
      <c r="F268" s="187"/>
      <c r="G268" s="190"/>
      <c r="H268" s="191"/>
      <c r="I268" s="187"/>
    </row>
    <row r="269" ht="38.25" spans="1:9">
      <c r="A269" s="175" t="s">
        <v>159</v>
      </c>
      <c r="B269" s="176" t="str">
        <f>VLOOKUP(A269,Planilha!$A$11:$I$39026,4,FALSE)</f>
        <v>Aterro manual para regularização do terreno em areia, inclusive adensamento hidráulico e fornecimento do material (máximo de 100m3)</v>
      </c>
      <c r="C269" s="177" t="str">
        <f>VLOOKUP($A269,Planilha!$A$11:$I$39026,5,FALSE)</f>
        <v>m³</v>
      </c>
      <c r="D269" s="178" t="s">
        <v>405</v>
      </c>
      <c r="E269" s="179" t="s">
        <v>407</v>
      </c>
      <c r="F269" s="179" t="s">
        <v>473</v>
      </c>
      <c r="G269" s="179" t="s">
        <v>521</v>
      </c>
      <c r="H269" s="180" t="s">
        <v>409</v>
      </c>
      <c r="I269" s="219">
        <f>SUM(H270:H270)</f>
        <v>4.116</v>
      </c>
    </row>
    <row r="270" spans="1:9">
      <c r="A270" s="187"/>
      <c r="B270" s="193" t="s">
        <v>410</v>
      </c>
      <c r="C270" s="183" t="s">
        <v>426</v>
      </c>
      <c r="D270" s="194">
        <v>8</v>
      </c>
      <c r="E270" s="195">
        <v>7.35</v>
      </c>
      <c r="F270" s="195">
        <v>0.07</v>
      </c>
      <c r="G270" s="190"/>
      <c r="H270" s="203">
        <f>F270*E270*D270</f>
        <v>4.116</v>
      </c>
      <c r="I270" s="219"/>
    </row>
    <row r="271" spans="1:9">
      <c r="A271" s="187"/>
      <c r="B271" s="187"/>
      <c r="C271" s="188"/>
      <c r="D271" s="189"/>
      <c r="E271" s="187"/>
      <c r="F271" s="187"/>
      <c r="G271" s="190"/>
      <c r="H271" s="191"/>
      <c r="I271" s="187"/>
    </row>
    <row r="272" s="127" customFormat="1" ht="25.5" spans="1:9">
      <c r="A272" s="175" t="s">
        <v>164</v>
      </c>
      <c r="B272" s="176" t="str">
        <f>VLOOKUP(A272,Planilha!$A$11:$I$39026,4,FALSE)</f>
        <v>Lastro regularizado de concreto não estrutural, espessura de 8cm</v>
      </c>
      <c r="C272" s="177" t="str">
        <f>VLOOKUP($A272,Planilha!$A$11:$I$39026,5,FALSE)</f>
        <v>m²</v>
      </c>
      <c r="D272" s="178" t="s">
        <v>405</v>
      </c>
      <c r="E272" s="179" t="s">
        <v>406</v>
      </c>
      <c r="F272" s="179" t="s">
        <v>473</v>
      </c>
      <c r="G272" s="179" t="s">
        <v>521</v>
      </c>
      <c r="H272" s="180" t="s">
        <v>409</v>
      </c>
      <c r="I272" s="219">
        <f>SUM(H273:H275)</f>
        <v>61.68</v>
      </c>
    </row>
    <row r="273" s="127" customFormat="1" spans="1:9">
      <c r="A273" s="211"/>
      <c r="B273" s="182" t="s">
        <v>410</v>
      </c>
      <c r="C273" s="183" t="s">
        <v>426</v>
      </c>
      <c r="D273" s="184">
        <v>8</v>
      </c>
      <c r="E273" s="185">
        <v>7.35</v>
      </c>
      <c r="F273" s="185"/>
      <c r="G273" s="212"/>
      <c r="H273" s="186">
        <f>E273*D273</f>
        <v>58.8</v>
      </c>
      <c r="I273" s="219"/>
    </row>
    <row r="274" s="127" customFormat="1" spans="1:9">
      <c r="A274" s="211"/>
      <c r="B274" s="211"/>
      <c r="C274" s="183" t="s">
        <v>528</v>
      </c>
      <c r="D274" s="198">
        <v>1.2</v>
      </c>
      <c r="E274" s="211">
        <v>1.2</v>
      </c>
      <c r="F274" s="211"/>
      <c r="G274" s="212"/>
      <c r="H274" s="207">
        <f>E274*D274</f>
        <v>1.44</v>
      </c>
      <c r="I274" s="211"/>
    </row>
    <row r="275" s="127" customFormat="1" spans="1:9">
      <c r="A275" s="211"/>
      <c r="B275" s="211"/>
      <c r="C275" s="183" t="s">
        <v>529</v>
      </c>
      <c r="D275" s="198">
        <v>1.2</v>
      </c>
      <c r="E275" s="211">
        <v>1.2</v>
      </c>
      <c r="F275" s="211"/>
      <c r="G275" s="212"/>
      <c r="H275" s="207">
        <f t="shared" ref="H275:H280" si="18">E275*D275</f>
        <v>1.44</v>
      </c>
      <c r="I275" s="211"/>
    </row>
    <row r="276" spans="1:9">
      <c r="A276" s="187"/>
      <c r="B276" s="187"/>
      <c r="C276" s="188"/>
      <c r="D276" s="189"/>
      <c r="E276" s="187"/>
      <c r="F276" s="187"/>
      <c r="G276" s="190"/>
      <c r="H276" s="191"/>
      <c r="I276" s="187"/>
    </row>
    <row r="277" s="127" customFormat="1" ht="51" spans="1:9">
      <c r="A277" s="175" t="s">
        <v>166</v>
      </c>
      <c r="B277" s="176" t="str">
        <f>VLOOKUP(A277,Planilha!$A$11:$I$39026,4,FALSE)</f>
        <v>Piso cimentado liso com 1.5cm de espessura, de argamassa de cimento e areia
 no traço 1:3 e juntas plásticas em quadrados de 1m</v>
      </c>
      <c r="C277" s="177" t="str">
        <f>VLOOKUP($A277,Planilha!$A$11:$I$39026,5,FALSE)</f>
        <v>m²</v>
      </c>
      <c r="D277" s="178" t="s">
        <v>405</v>
      </c>
      <c r="E277" s="179" t="s">
        <v>407</v>
      </c>
      <c r="F277" s="179" t="s">
        <v>473</v>
      </c>
      <c r="G277" s="179" t="s">
        <v>521</v>
      </c>
      <c r="H277" s="180" t="s">
        <v>409</v>
      </c>
      <c r="I277" s="219">
        <f>SUM(H278:H280)</f>
        <v>75.61</v>
      </c>
    </row>
    <row r="278" s="127" customFormat="1" spans="1:9">
      <c r="A278" s="211"/>
      <c r="B278" s="182" t="s">
        <v>410</v>
      </c>
      <c r="C278" s="183" t="s">
        <v>426</v>
      </c>
      <c r="D278" s="184">
        <v>8</v>
      </c>
      <c r="E278" s="185">
        <v>7.65</v>
      </c>
      <c r="F278" s="185"/>
      <c r="G278" s="185"/>
      <c r="H278" s="200">
        <f t="shared" si="18"/>
        <v>61.2</v>
      </c>
      <c r="I278" s="219"/>
    </row>
    <row r="279" spans="1:9">
      <c r="A279" s="187"/>
      <c r="B279" s="187"/>
      <c r="C279" s="188" t="s">
        <v>428</v>
      </c>
      <c r="D279" s="184">
        <v>8</v>
      </c>
      <c r="E279" s="185">
        <v>1.65</v>
      </c>
      <c r="F279" s="185"/>
      <c r="G279" s="185"/>
      <c r="H279" s="200">
        <f t="shared" si="18"/>
        <v>13.2</v>
      </c>
      <c r="I279" s="185"/>
    </row>
    <row r="280" spans="1:9">
      <c r="A280" s="187"/>
      <c r="B280" s="187"/>
      <c r="C280" s="188" t="s">
        <v>427</v>
      </c>
      <c r="D280" s="184">
        <v>1.1</v>
      </c>
      <c r="E280" s="185">
        <v>1.1</v>
      </c>
      <c r="F280" s="185"/>
      <c r="G280" s="185"/>
      <c r="H280" s="200">
        <f t="shared" si="18"/>
        <v>1.21</v>
      </c>
      <c r="I280" s="185"/>
    </row>
    <row r="281" spans="1:9">
      <c r="A281" s="187"/>
      <c r="B281" s="187"/>
      <c r="C281" s="188"/>
      <c r="D281" s="184"/>
      <c r="E281" s="185"/>
      <c r="F281" s="185"/>
      <c r="G281" s="185"/>
      <c r="H281" s="200"/>
      <c r="I281" s="185"/>
    </row>
    <row r="282" s="127" customFormat="1" ht="38.25" spans="1:9">
      <c r="A282" s="175" t="s">
        <v>168</v>
      </c>
      <c r="B282" s="176" t="str">
        <f>VLOOKUP(A282,Planilha!$A$11:$I$39026,4,FALSE)</f>
        <v>Regularização de base p/ revestimento cerâmico, com argamassa de cimento e areia no traço 1:5, espessura 3cm</v>
      </c>
      <c r="C282" s="177" t="str">
        <f>VLOOKUP($A282,Planilha!$A$11:$I$39026,5,FALSE)</f>
        <v>m²</v>
      </c>
      <c r="D282" s="178" t="s">
        <v>405</v>
      </c>
      <c r="E282" s="179" t="s">
        <v>407</v>
      </c>
      <c r="F282" s="179" t="s">
        <v>473</v>
      </c>
      <c r="G282" s="179" t="s">
        <v>494</v>
      </c>
      <c r="H282" s="180" t="s">
        <v>409</v>
      </c>
      <c r="I282" s="219">
        <f>SUM(H283:H288)</f>
        <v>206.2975</v>
      </c>
    </row>
    <row r="283" s="127" customFormat="1" spans="1:9">
      <c r="A283" s="211"/>
      <c r="B283" s="182" t="s">
        <v>410</v>
      </c>
      <c r="C283" s="183" t="s">
        <v>425</v>
      </c>
      <c r="D283" s="184">
        <v>6</v>
      </c>
      <c r="E283" s="185"/>
      <c r="F283" s="185">
        <v>7.95</v>
      </c>
      <c r="G283" s="185">
        <v>1</v>
      </c>
      <c r="H283" s="186">
        <f>F283*D283*G283</f>
        <v>47.7</v>
      </c>
      <c r="I283" s="219"/>
    </row>
    <row r="284" s="127" customFormat="1" spans="1:9">
      <c r="A284" s="211"/>
      <c r="B284" s="211"/>
      <c r="C284" s="183" t="s">
        <v>416</v>
      </c>
      <c r="D284" s="184">
        <v>8</v>
      </c>
      <c r="E284" s="185"/>
      <c r="F284" s="185">
        <v>6</v>
      </c>
      <c r="G284" s="185">
        <v>2</v>
      </c>
      <c r="H284" s="186">
        <f>F284*D284*G284</f>
        <v>96</v>
      </c>
      <c r="I284" s="185"/>
    </row>
    <row r="285" s="127" customFormat="1" spans="1:9">
      <c r="A285" s="211"/>
      <c r="B285" s="211"/>
      <c r="C285" s="183" t="s">
        <v>418</v>
      </c>
      <c r="D285" s="198">
        <v>6</v>
      </c>
      <c r="E285" s="211"/>
      <c r="F285" s="211">
        <v>7.05</v>
      </c>
      <c r="G285" s="212">
        <v>1</v>
      </c>
      <c r="H285" s="186">
        <f>F285*D285*G285</f>
        <v>42.3</v>
      </c>
      <c r="I285" s="185"/>
    </row>
    <row r="286" s="127" customFormat="1" spans="1:9">
      <c r="A286" s="211"/>
      <c r="B286" s="211"/>
      <c r="C286" s="183" t="s">
        <v>420</v>
      </c>
      <c r="D286" s="198">
        <v>2.95</v>
      </c>
      <c r="E286" s="211"/>
      <c r="F286" s="211">
        <v>2.55</v>
      </c>
      <c r="G286" s="212">
        <v>1</v>
      </c>
      <c r="H286" s="186">
        <f t="shared" ref="H286:H295" si="19">F286*D286*G286</f>
        <v>7.5225</v>
      </c>
      <c r="I286" s="185"/>
    </row>
    <row r="287" s="127" customFormat="1" spans="1:9">
      <c r="A287" s="211"/>
      <c r="B287" s="211"/>
      <c r="C287" s="183" t="s">
        <v>421</v>
      </c>
      <c r="D287" s="198">
        <v>2.95</v>
      </c>
      <c r="E287" s="211"/>
      <c r="F287" s="211">
        <v>1.7</v>
      </c>
      <c r="G287" s="212">
        <v>1</v>
      </c>
      <c r="H287" s="186">
        <f t="shared" si="19"/>
        <v>5.015</v>
      </c>
      <c r="I287" s="185"/>
    </row>
    <row r="288" s="127" customFormat="1" spans="1:9">
      <c r="A288" s="211"/>
      <c r="B288" s="211"/>
      <c r="C288" s="183" t="s">
        <v>429</v>
      </c>
      <c r="D288" s="204" t="s">
        <v>530</v>
      </c>
      <c r="E288" s="205"/>
      <c r="F288" s="205"/>
      <c r="G288" s="206"/>
      <c r="H288" s="207">
        <v>7.76</v>
      </c>
      <c r="I288" s="185"/>
    </row>
    <row r="289" spans="1:9">
      <c r="A289" s="187"/>
      <c r="B289" s="187"/>
      <c r="C289" s="188"/>
      <c r="D289" s="184"/>
      <c r="E289" s="185"/>
      <c r="F289" s="185"/>
      <c r="G289" s="185"/>
      <c r="H289" s="200"/>
      <c r="I289" s="185"/>
    </row>
    <row r="290" s="127" customFormat="1" ht="51" spans="1:9">
      <c r="A290" s="175" t="s">
        <v>170</v>
      </c>
      <c r="B290" s="176" t="str">
        <f>VLOOKUP(A290,Planilha!$A$11:$I$39026,4,FALSE)</f>
        <v>Piso cerâmico 45x45cm, PEI 5, Cargo Plus Gray, marcas de referência Eliane, Cecrisa ou Portobello, assentado com argamassa de cimento colante, inclusive rejuntamento</v>
      </c>
      <c r="C290" s="177" t="str">
        <f>VLOOKUP($A290,Planilha!$A$11:$I$39026,5,FALSE)</f>
        <v>m²</v>
      </c>
      <c r="D290" s="178" t="s">
        <v>405</v>
      </c>
      <c r="E290" s="179" t="s">
        <v>407</v>
      </c>
      <c r="F290" s="179" t="s">
        <v>473</v>
      </c>
      <c r="G290" s="179" t="s">
        <v>494</v>
      </c>
      <c r="H290" s="180" t="s">
        <v>409</v>
      </c>
      <c r="I290" s="219">
        <f>SUM(H291:H296)</f>
        <v>206.2975</v>
      </c>
    </row>
    <row r="291" s="127" customFormat="1" spans="1:9">
      <c r="A291" s="211"/>
      <c r="B291" s="182" t="s">
        <v>410</v>
      </c>
      <c r="C291" s="183" t="s">
        <v>425</v>
      </c>
      <c r="D291" s="184">
        <v>6</v>
      </c>
      <c r="E291" s="185"/>
      <c r="F291" s="185">
        <v>7.95</v>
      </c>
      <c r="G291" s="245">
        <v>1</v>
      </c>
      <c r="H291" s="186">
        <f t="shared" si="19"/>
        <v>47.7</v>
      </c>
      <c r="I291" s="185"/>
    </row>
    <row r="292" s="127" customFormat="1" spans="1:9">
      <c r="A292" s="211"/>
      <c r="B292" s="211"/>
      <c r="C292" s="183" t="s">
        <v>416</v>
      </c>
      <c r="D292" s="184">
        <v>8</v>
      </c>
      <c r="E292" s="185"/>
      <c r="F292" s="185">
        <v>6</v>
      </c>
      <c r="G292" s="245">
        <v>2</v>
      </c>
      <c r="H292" s="186">
        <f t="shared" si="19"/>
        <v>96</v>
      </c>
      <c r="I292" s="185"/>
    </row>
    <row r="293" s="127" customFormat="1" spans="1:9">
      <c r="A293" s="211"/>
      <c r="B293" s="211"/>
      <c r="C293" s="183" t="s">
        <v>418</v>
      </c>
      <c r="D293" s="198">
        <v>6</v>
      </c>
      <c r="E293" s="211"/>
      <c r="F293" s="211">
        <v>7.05</v>
      </c>
      <c r="G293" s="212">
        <v>1</v>
      </c>
      <c r="H293" s="186">
        <f t="shared" si="19"/>
        <v>42.3</v>
      </c>
      <c r="I293" s="185"/>
    </row>
    <row r="294" s="127" customFormat="1" spans="1:9">
      <c r="A294" s="211"/>
      <c r="B294" s="211"/>
      <c r="C294" s="183" t="s">
        <v>420</v>
      </c>
      <c r="D294" s="198">
        <v>2.95</v>
      </c>
      <c r="E294" s="211"/>
      <c r="F294" s="211">
        <v>2.55</v>
      </c>
      <c r="G294" s="212">
        <v>1</v>
      </c>
      <c r="H294" s="186">
        <f t="shared" si="19"/>
        <v>7.5225</v>
      </c>
      <c r="I294" s="185"/>
    </row>
    <row r="295" s="127" customFormat="1" spans="1:9">
      <c r="A295" s="211"/>
      <c r="B295" s="211"/>
      <c r="C295" s="183" t="s">
        <v>421</v>
      </c>
      <c r="D295" s="198">
        <v>2.95</v>
      </c>
      <c r="E295" s="211"/>
      <c r="F295" s="211">
        <v>1.7</v>
      </c>
      <c r="G295" s="212">
        <v>1</v>
      </c>
      <c r="H295" s="186">
        <f t="shared" si="19"/>
        <v>5.015</v>
      </c>
      <c r="I295" s="185"/>
    </row>
    <row r="296" s="127" customFormat="1" spans="1:9">
      <c r="A296" s="211"/>
      <c r="B296" s="211"/>
      <c r="C296" s="183" t="s">
        <v>429</v>
      </c>
      <c r="D296" s="204" t="s">
        <v>430</v>
      </c>
      <c r="E296" s="205"/>
      <c r="F296" s="205"/>
      <c r="G296" s="206"/>
      <c r="H296" s="207">
        <v>7.76</v>
      </c>
      <c r="I296" s="185"/>
    </row>
    <row r="297" spans="1:9">
      <c r="A297" s="187"/>
      <c r="B297" s="187"/>
      <c r="C297" s="188"/>
      <c r="D297" s="184"/>
      <c r="E297" s="185"/>
      <c r="F297" s="185"/>
      <c r="G297" s="185"/>
      <c r="H297" s="200"/>
      <c r="I297" s="185"/>
    </row>
    <row r="298" s="127" customFormat="1" ht="25.5" spans="1:9">
      <c r="A298" s="175" t="s">
        <v>174</v>
      </c>
      <c r="B298" s="176" t="s">
        <v>175</v>
      </c>
      <c r="C298" s="177" t="str">
        <f>VLOOKUP($A298,Planilha!$A$11:$I$39026,5,FALSE)</f>
        <v>m</v>
      </c>
      <c r="D298" s="178" t="s">
        <v>405</v>
      </c>
      <c r="E298" s="179" t="s">
        <v>407</v>
      </c>
      <c r="F298" s="179" t="s">
        <v>473</v>
      </c>
      <c r="G298" s="179" t="s">
        <v>521</v>
      </c>
      <c r="H298" s="180" t="s">
        <v>411</v>
      </c>
      <c r="I298" s="219">
        <f>SUM(H299:H303)</f>
        <v>30.5</v>
      </c>
    </row>
    <row r="299" s="127" customFormat="1" spans="1:9">
      <c r="A299" s="211"/>
      <c r="B299" s="182" t="s">
        <v>410</v>
      </c>
      <c r="C299" s="183" t="s">
        <v>425</v>
      </c>
      <c r="D299" s="184">
        <v>5</v>
      </c>
      <c r="E299" s="185"/>
      <c r="F299" s="185"/>
      <c r="G299" s="185"/>
      <c r="H299" s="186">
        <f t="shared" ref="H299:H303" si="20">D299</f>
        <v>5</v>
      </c>
      <c r="I299" s="219"/>
    </row>
    <row r="300" s="127" customFormat="1" spans="1:9">
      <c r="A300" s="211"/>
      <c r="B300" s="211"/>
      <c r="C300" s="183" t="s">
        <v>416</v>
      </c>
      <c r="D300" s="184">
        <v>9</v>
      </c>
      <c r="E300" s="185"/>
      <c r="F300" s="185"/>
      <c r="G300" s="185"/>
      <c r="H300" s="186">
        <f t="shared" si="20"/>
        <v>9</v>
      </c>
      <c r="I300" s="185"/>
    </row>
    <row r="301" s="127" customFormat="1" spans="1:9">
      <c r="A301" s="211"/>
      <c r="B301" s="211"/>
      <c r="C301" s="183" t="s">
        <v>418</v>
      </c>
      <c r="D301" s="198">
        <v>6</v>
      </c>
      <c r="E301" s="211"/>
      <c r="F301" s="211"/>
      <c r="G301" s="212"/>
      <c r="H301" s="186">
        <f t="shared" si="20"/>
        <v>6</v>
      </c>
      <c r="I301" s="185"/>
    </row>
    <row r="302" s="127" customFormat="1" spans="1:9">
      <c r="A302" s="211"/>
      <c r="B302" s="211"/>
      <c r="C302" s="183" t="s">
        <v>423</v>
      </c>
      <c r="D302" s="198">
        <v>6</v>
      </c>
      <c r="E302" s="211"/>
      <c r="F302" s="211"/>
      <c r="G302" s="212"/>
      <c r="H302" s="186">
        <f t="shared" si="20"/>
        <v>6</v>
      </c>
      <c r="I302" s="185"/>
    </row>
    <row r="303" s="127" customFormat="1" spans="1:9">
      <c r="A303" s="211"/>
      <c r="B303" s="211"/>
      <c r="C303" s="183" t="s">
        <v>531</v>
      </c>
      <c r="D303" s="198">
        <v>4.5</v>
      </c>
      <c r="E303" s="211"/>
      <c r="F303" s="211"/>
      <c r="G303" s="212"/>
      <c r="H303" s="186">
        <f t="shared" si="20"/>
        <v>4.5</v>
      </c>
      <c r="I303" s="185"/>
    </row>
    <row r="304" spans="1:9">
      <c r="A304" s="187"/>
      <c r="B304" s="187"/>
      <c r="C304" s="188"/>
      <c r="D304" s="184"/>
      <c r="E304" s="185"/>
      <c r="F304" s="185"/>
      <c r="G304" s="185"/>
      <c r="H304" s="200"/>
      <c r="I304" s="185"/>
    </row>
    <row r="305" s="127" customFormat="1" ht="25.5" spans="1:9">
      <c r="A305" s="175" t="s">
        <v>176</v>
      </c>
      <c r="B305" s="176" t="str">
        <f>VLOOKUP(A305,Planilha!$A$11:$I$39026,4,FALSE)</f>
        <v>Eletroduto flexível corrugado 3/4" , marca de referência TIGRE</v>
      </c>
      <c r="C305" s="177" t="str">
        <f>VLOOKUP($A305,Planilha!$A$11:$I$39026,5,FALSE)</f>
        <v>m</v>
      </c>
      <c r="D305" s="178" t="s">
        <v>405</v>
      </c>
      <c r="E305" s="179" t="s">
        <v>407</v>
      </c>
      <c r="F305" s="179" t="s">
        <v>473</v>
      </c>
      <c r="G305" s="179" t="s">
        <v>521</v>
      </c>
      <c r="H305" s="180" t="s">
        <v>411</v>
      </c>
      <c r="I305" s="219">
        <f>SUM(H306:H307)</f>
        <v>15</v>
      </c>
    </row>
    <row r="306" s="127" customFormat="1" spans="1:9">
      <c r="A306" s="211"/>
      <c r="B306" s="211"/>
      <c r="C306" s="183" t="s">
        <v>418</v>
      </c>
      <c r="D306" s="198">
        <v>9</v>
      </c>
      <c r="E306" s="211"/>
      <c r="F306" s="211"/>
      <c r="G306" s="212"/>
      <c r="H306" s="186">
        <f>D306</f>
        <v>9</v>
      </c>
      <c r="I306" s="219"/>
    </row>
    <row r="307" s="127" customFormat="1" spans="1:9">
      <c r="A307" s="211"/>
      <c r="B307" s="211"/>
      <c r="C307" s="183" t="s">
        <v>423</v>
      </c>
      <c r="D307" s="198">
        <v>6</v>
      </c>
      <c r="E307" s="211"/>
      <c r="F307" s="211"/>
      <c r="G307" s="212"/>
      <c r="H307" s="186">
        <v>6</v>
      </c>
      <c r="I307" s="219"/>
    </row>
    <row r="308" spans="1:9">
      <c r="A308" s="187"/>
      <c r="B308" s="187"/>
      <c r="C308" s="188"/>
      <c r="D308" s="184"/>
      <c r="E308" s="185"/>
      <c r="F308" s="185"/>
      <c r="G308" s="185"/>
      <c r="H308" s="200"/>
      <c r="I308" s="185"/>
    </row>
    <row r="309" s="127" customFormat="1" ht="38.25" spans="1:9">
      <c r="A309" s="175" t="s">
        <v>178</v>
      </c>
      <c r="B309" s="176" t="str">
        <f>VLOOKUP(A309,Planilha!$A$11:$I$39026,4,FALSE)</f>
        <v>Quadro de distribuição de energia, de embutir, com 6 divisões modulares, com barramento trifásico 100A</v>
      </c>
      <c r="C309" s="177" t="str">
        <f>VLOOKUP($A309,Planilha!$A$11:$I$39026,5,FALSE)</f>
        <v>und</v>
      </c>
      <c r="D309" s="178" t="s">
        <v>405</v>
      </c>
      <c r="E309" s="179" t="s">
        <v>407</v>
      </c>
      <c r="F309" s="179" t="s">
        <v>473</v>
      </c>
      <c r="G309" s="179" t="s">
        <v>521</v>
      </c>
      <c r="H309" s="180" t="s">
        <v>457</v>
      </c>
      <c r="I309" s="219">
        <f>SUM(H310)</f>
        <v>1</v>
      </c>
    </row>
    <row r="310" s="127" customFormat="1" spans="1:9">
      <c r="A310" s="211"/>
      <c r="B310" s="182" t="s">
        <v>410</v>
      </c>
      <c r="C310" s="183" t="s">
        <v>467</v>
      </c>
      <c r="D310" s="184"/>
      <c r="E310" s="185"/>
      <c r="F310" s="185"/>
      <c r="G310" s="185"/>
      <c r="H310" s="186">
        <v>1</v>
      </c>
      <c r="I310" s="219"/>
    </row>
    <row r="311" customFormat="1" spans="1:9">
      <c r="A311" s="187"/>
      <c r="B311" s="187"/>
      <c r="C311" s="188"/>
      <c r="D311" s="184"/>
      <c r="E311" s="185"/>
      <c r="F311" s="185"/>
      <c r="G311" s="185"/>
      <c r="H311" s="200"/>
      <c r="I311" s="185"/>
    </row>
    <row r="312" s="127" customFormat="1" ht="25.5" spans="1:9">
      <c r="A312" s="175" t="s">
        <v>180</v>
      </c>
      <c r="B312" s="176" t="str">
        <f>VLOOKUP(A312,Planilha!$A$11:$I$39026,4,FALSE)</f>
        <v>Fio de cobre termoplástico, com isolamento para 750V, seção de 2.5 mm2</v>
      </c>
      <c r="C312" s="177" t="str">
        <f>VLOOKUP($A312,Planilha!$A$11:$I$39026,5,FALSE)</f>
        <v>m</v>
      </c>
      <c r="D312" s="178" t="s">
        <v>405</v>
      </c>
      <c r="E312" s="179" t="s">
        <v>407</v>
      </c>
      <c r="F312" s="179" t="s">
        <v>473</v>
      </c>
      <c r="G312" s="179" t="s">
        <v>532</v>
      </c>
      <c r="H312" s="180" t="s">
        <v>411</v>
      </c>
      <c r="I312" s="219">
        <f>SUM(H313:H314)</f>
        <v>45</v>
      </c>
    </row>
    <row r="313" s="127" customFormat="1" spans="1:9">
      <c r="A313" s="211"/>
      <c r="B313" s="211"/>
      <c r="C313" s="183" t="s">
        <v>418</v>
      </c>
      <c r="D313" s="198">
        <v>9</v>
      </c>
      <c r="E313" s="211"/>
      <c r="F313" s="211"/>
      <c r="G313" s="199">
        <v>3</v>
      </c>
      <c r="H313" s="186">
        <f>G313*D313</f>
        <v>27</v>
      </c>
      <c r="I313" s="219"/>
    </row>
    <row r="314" s="127" customFormat="1" spans="1:9">
      <c r="A314" s="211"/>
      <c r="B314" s="211"/>
      <c r="C314" s="183" t="s">
        <v>423</v>
      </c>
      <c r="D314" s="198">
        <v>6</v>
      </c>
      <c r="E314" s="211"/>
      <c r="F314" s="211"/>
      <c r="G314" s="199">
        <v>3</v>
      </c>
      <c r="H314" s="186">
        <f>G314*D314</f>
        <v>18</v>
      </c>
      <c r="I314" s="219"/>
    </row>
    <row r="315" customFormat="1" spans="1:9">
      <c r="A315" s="187"/>
      <c r="B315" s="187"/>
      <c r="C315" s="188"/>
      <c r="D315" s="184"/>
      <c r="E315" s="185"/>
      <c r="F315" s="185"/>
      <c r="G315" s="185"/>
      <c r="H315" s="200"/>
      <c r="I315" s="185"/>
    </row>
    <row r="316" s="127" customFormat="1" ht="76.5" spans="1:9">
      <c r="A316" s="175" t="s">
        <v>182</v>
      </c>
      <c r="B316" s="176" t="s">
        <v>183</v>
      </c>
      <c r="C316" s="177" t="str">
        <f>VLOOKUP($A316,Planilha!$A$11:$I$39026,5,FALSE)</f>
        <v>und</v>
      </c>
      <c r="D316" s="178" t="s">
        <v>405</v>
      </c>
      <c r="E316" s="179" t="s">
        <v>407</v>
      </c>
      <c r="F316" s="179" t="s">
        <v>473</v>
      </c>
      <c r="G316" s="179" t="s">
        <v>466</v>
      </c>
      <c r="H316" s="180" t="s">
        <v>457</v>
      </c>
      <c r="I316" s="219">
        <f>SUM(H317:H323)</f>
        <v>24</v>
      </c>
    </row>
    <row r="317" s="127" customFormat="1" spans="1:9">
      <c r="A317" s="211"/>
      <c r="B317" s="182" t="s">
        <v>410</v>
      </c>
      <c r="C317" s="244" t="s">
        <v>414</v>
      </c>
      <c r="D317" s="262"/>
      <c r="E317" s="185"/>
      <c r="F317" s="185"/>
      <c r="G317" s="245">
        <v>4</v>
      </c>
      <c r="H317" s="186">
        <f t="shared" ref="H317:H323" si="21">G317</f>
        <v>4</v>
      </c>
      <c r="I317" s="219"/>
    </row>
    <row r="318" s="127" customFormat="1" spans="1:9">
      <c r="A318" s="211"/>
      <c r="B318" s="211"/>
      <c r="C318" s="244" t="s">
        <v>416</v>
      </c>
      <c r="D318" s="262"/>
      <c r="E318" s="211"/>
      <c r="F318" s="211"/>
      <c r="G318" s="212">
        <v>8</v>
      </c>
      <c r="H318" s="186">
        <f t="shared" si="21"/>
        <v>8</v>
      </c>
      <c r="I318" s="211"/>
    </row>
    <row r="319" s="127" customFormat="1" spans="1:9">
      <c r="A319" s="211"/>
      <c r="B319" s="211"/>
      <c r="C319" s="183" t="s">
        <v>418</v>
      </c>
      <c r="D319" s="212"/>
      <c r="E319" s="211"/>
      <c r="F319" s="211"/>
      <c r="G319" s="212">
        <v>4</v>
      </c>
      <c r="H319" s="186">
        <f t="shared" si="21"/>
        <v>4</v>
      </c>
      <c r="I319" s="211"/>
    </row>
    <row r="320" s="127" customFormat="1" spans="1:9">
      <c r="A320" s="211"/>
      <c r="B320" s="211"/>
      <c r="C320" s="244" t="s">
        <v>423</v>
      </c>
      <c r="D320" s="262"/>
      <c r="E320" s="211"/>
      <c r="F320" s="211"/>
      <c r="G320" s="212">
        <v>2</v>
      </c>
      <c r="H320" s="186">
        <f t="shared" si="21"/>
        <v>2</v>
      </c>
      <c r="I320" s="211"/>
    </row>
    <row r="321" s="127" customFormat="1" spans="1:9">
      <c r="A321" s="211"/>
      <c r="B321" s="211"/>
      <c r="C321" s="183" t="s">
        <v>533</v>
      </c>
      <c r="D321" s="212"/>
      <c r="E321" s="211"/>
      <c r="F321" s="211"/>
      <c r="G321" s="212">
        <v>4</v>
      </c>
      <c r="H321" s="186">
        <f t="shared" si="21"/>
        <v>4</v>
      </c>
      <c r="I321" s="211"/>
    </row>
    <row r="322" s="127" customFormat="1" spans="1:9">
      <c r="A322" s="211"/>
      <c r="B322" s="211"/>
      <c r="C322" s="183" t="s">
        <v>455</v>
      </c>
      <c r="D322" s="212"/>
      <c r="E322" s="211"/>
      <c r="F322" s="211"/>
      <c r="G322" s="212">
        <v>1</v>
      </c>
      <c r="H322" s="186">
        <f t="shared" si="21"/>
        <v>1</v>
      </c>
      <c r="I322" s="211"/>
    </row>
    <row r="323" s="127" customFormat="1" spans="1:9">
      <c r="A323" s="211"/>
      <c r="B323" s="211"/>
      <c r="C323" s="183" t="s">
        <v>422</v>
      </c>
      <c r="D323" s="212"/>
      <c r="E323" s="211"/>
      <c r="F323" s="211"/>
      <c r="G323" s="212">
        <v>1</v>
      </c>
      <c r="H323" s="186">
        <f t="shared" si="21"/>
        <v>1</v>
      </c>
      <c r="I323" s="211"/>
    </row>
    <row r="324" customFormat="1" spans="1:9">
      <c r="A324" s="187"/>
      <c r="B324" s="187"/>
      <c r="C324" s="188"/>
      <c r="D324" s="184"/>
      <c r="E324" s="185"/>
      <c r="F324" s="185"/>
      <c r="G324" s="185"/>
      <c r="H324" s="200"/>
      <c r="I324" s="185"/>
    </row>
    <row r="325" s="127" customFormat="1" ht="51" spans="1:9">
      <c r="A325" s="175" t="s">
        <v>184</v>
      </c>
      <c r="B325" s="176" t="str">
        <f>VLOOKUP(A325,Planilha!$A$11:$I$39026,4,FALSE)</f>
        <v>Luminária para uma lâmpada fluorescente 20W, completa, c/ reator simples-127V partida rápida alto fator de potência, soquete antivibratório e lâmpada fluorescente 20W-127V</v>
      </c>
      <c r="C325" s="177" t="str">
        <f>VLOOKUP($A325,Planilha!$A$11:$I$39026,5,FALSE)</f>
        <v>und</v>
      </c>
      <c r="D325" s="178" t="s">
        <v>405</v>
      </c>
      <c r="E325" s="179" t="s">
        <v>407</v>
      </c>
      <c r="F325" s="179" t="s">
        <v>473</v>
      </c>
      <c r="G325" s="179" t="s">
        <v>466</v>
      </c>
      <c r="H325" s="180" t="s">
        <v>457</v>
      </c>
      <c r="I325" s="219">
        <f>SUM(H326:H328)</f>
        <v>4</v>
      </c>
    </row>
    <row r="326" s="127" customFormat="1" spans="1:9">
      <c r="A326" s="211"/>
      <c r="B326" s="211"/>
      <c r="C326" s="183" t="s">
        <v>420</v>
      </c>
      <c r="D326" s="262"/>
      <c r="E326" s="211"/>
      <c r="F326" s="211"/>
      <c r="G326" s="212">
        <v>1</v>
      </c>
      <c r="H326" s="186">
        <f>G326</f>
        <v>1</v>
      </c>
      <c r="I326" s="219"/>
    </row>
    <row r="327" s="127" customFormat="1" spans="1:9">
      <c r="A327" s="211"/>
      <c r="B327" s="211"/>
      <c r="C327" s="183" t="s">
        <v>453</v>
      </c>
      <c r="D327" s="212"/>
      <c r="E327" s="211"/>
      <c r="F327" s="211"/>
      <c r="G327" s="212">
        <v>2</v>
      </c>
      <c r="H327" s="186">
        <f>G327</f>
        <v>2</v>
      </c>
      <c r="I327" s="211"/>
    </row>
    <row r="328" s="127" customFormat="1" spans="1:9">
      <c r="A328" s="211"/>
      <c r="B328" s="211"/>
      <c r="C328" s="183" t="s">
        <v>456</v>
      </c>
      <c r="D328" s="198"/>
      <c r="E328" s="211"/>
      <c r="F328" s="211"/>
      <c r="G328" s="212">
        <v>1</v>
      </c>
      <c r="H328" s="186">
        <f>G328</f>
        <v>1</v>
      </c>
      <c r="I328" s="211"/>
    </row>
    <row r="329" customFormat="1" spans="1:9">
      <c r="A329" s="187"/>
      <c r="B329" s="187"/>
      <c r="C329" s="188"/>
      <c r="D329" s="184"/>
      <c r="E329" s="185"/>
      <c r="F329" s="185"/>
      <c r="G329" s="185"/>
      <c r="H329" s="200"/>
      <c r="I329" s="185"/>
    </row>
    <row r="330" s="127" customFormat="1" ht="25.5" spans="1:9">
      <c r="A330" s="175" t="s">
        <v>186</v>
      </c>
      <c r="B330" s="176" t="str">
        <f>VLOOKUP(A330,Planilha!$A$11:$I$39026,4,FALSE)</f>
        <v>Tomada padrão brasileiro linha branca, NBR 14136 2 polos + terra 10A/250V, com placa 4x2"</v>
      </c>
      <c r="C330" s="177" t="str">
        <f>VLOOKUP($A330,Planilha!$A$11:$I$39026,5,FALSE)</f>
        <v>und</v>
      </c>
      <c r="D330" s="178" t="s">
        <v>405</v>
      </c>
      <c r="E330" s="179" t="s">
        <v>407</v>
      </c>
      <c r="F330" s="179" t="s">
        <v>473</v>
      </c>
      <c r="G330" s="179" t="s">
        <v>466</v>
      </c>
      <c r="H330" s="180" t="s">
        <v>457</v>
      </c>
      <c r="I330" s="219">
        <f>SUM(H331:H336)</f>
        <v>25</v>
      </c>
    </row>
    <row r="331" s="127" customFormat="1" spans="1:9">
      <c r="A331" s="211"/>
      <c r="B331" s="211"/>
      <c r="C331" s="244" t="s">
        <v>414</v>
      </c>
      <c r="D331" s="262"/>
      <c r="E331" s="211"/>
      <c r="F331" s="211"/>
      <c r="G331" s="212">
        <v>5</v>
      </c>
      <c r="H331" s="186">
        <f t="shared" ref="H331:H336" si="22">G331</f>
        <v>5</v>
      </c>
      <c r="I331" s="219"/>
    </row>
    <row r="332" s="127" customFormat="1" spans="1:9">
      <c r="A332" s="211"/>
      <c r="B332" s="211"/>
      <c r="C332" s="244" t="s">
        <v>416</v>
      </c>
      <c r="D332" s="212"/>
      <c r="E332" s="211"/>
      <c r="F332" s="211"/>
      <c r="G332" s="212">
        <v>10</v>
      </c>
      <c r="H332" s="186">
        <f t="shared" si="22"/>
        <v>10</v>
      </c>
      <c r="I332" s="211"/>
    </row>
    <row r="333" s="127" customFormat="1" spans="1:9">
      <c r="A333" s="211"/>
      <c r="B333" s="211"/>
      <c r="C333" s="183" t="s">
        <v>418</v>
      </c>
      <c r="D333" s="198"/>
      <c r="E333" s="211"/>
      <c r="F333" s="211"/>
      <c r="G333" s="212">
        <v>1</v>
      </c>
      <c r="H333" s="186">
        <f t="shared" si="22"/>
        <v>1</v>
      </c>
      <c r="I333" s="211"/>
    </row>
    <row r="334" s="127" customFormat="1" spans="1:9">
      <c r="A334" s="211"/>
      <c r="B334" s="211"/>
      <c r="C334" s="183" t="s">
        <v>534</v>
      </c>
      <c r="D334" s="198"/>
      <c r="E334" s="211"/>
      <c r="F334" s="211"/>
      <c r="G334" s="212">
        <v>2</v>
      </c>
      <c r="H334" s="186">
        <f t="shared" si="22"/>
        <v>2</v>
      </c>
      <c r="I334" s="250"/>
    </row>
    <row r="335" s="127" customFormat="1" spans="1:9">
      <c r="A335" s="211"/>
      <c r="B335" s="211"/>
      <c r="C335" s="244" t="s">
        <v>423</v>
      </c>
      <c r="D335" s="198"/>
      <c r="E335" s="211"/>
      <c r="F335" s="211"/>
      <c r="G335" s="212">
        <v>4</v>
      </c>
      <c r="H335" s="186">
        <f t="shared" si="22"/>
        <v>4</v>
      </c>
      <c r="I335" s="211"/>
    </row>
    <row r="336" s="127" customFormat="1" spans="1:9">
      <c r="A336" s="211"/>
      <c r="B336" s="211"/>
      <c r="C336" s="183" t="s">
        <v>455</v>
      </c>
      <c r="D336" s="198"/>
      <c r="E336" s="211"/>
      <c r="F336" s="211"/>
      <c r="G336" s="212">
        <v>3</v>
      </c>
      <c r="H336" s="186">
        <f t="shared" si="22"/>
        <v>3</v>
      </c>
      <c r="I336" s="211"/>
    </row>
    <row r="337" customFormat="1" spans="1:9">
      <c r="A337" s="187"/>
      <c r="B337" s="187"/>
      <c r="C337" s="188"/>
      <c r="D337" s="184"/>
      <c r="E337" s="185"/>
      <c r="F337" s="185"/>
      <c r="G337" s="185"/>
      <c r="H337" s="200"/>
      <c r="I337" s="185"/>
    </row>
    <row r="338" s="127" customFormat="1" ht="25.5" spans="1:9">
      <c r="A338" s="175" t="s">
        <v>188</v>
      </c>
      <c r="B338" s="176" t="str">
        <f>VLOOKUP(A338,Planilha!$A$11:$I$39026,4,FALSE)</f>
        <v>Tomada padrão brasileiro linha branca, NBR 14136 2 polos + terra 20A/250V, com placa 4x2"</v>
      </c>
      <c r="C338" s="177" t="str">
        <f>VLOOKUP($A338,Planilha!$A$11:$I$39026,5,FALSE)</f>
        <v>und</v>
      </c>
      <c r="D338" s="178" t="s">
        <v>405</v>
      </c>
      <c r="E338" s="179" t="s">
        <v>407</v>
      </c>
      <c r="F338" s="179" t="s">
        <v>473</v>
      </c>
      <c r="G338" s="179" t="s">
        <v>466</v>
      </c>
      <c r="H338" s="180" t="s">
        <v>457</v>
      </c>
      <c r="I338" s="219">
        <f>SUM(H339:H339)</f>
        <v>1</v>
      </c>
    </row>
    <row r="339" s="127" customFormat="1" spans="1:9">
      <c r="A339" s="211"/>
      <c r="B339" s="211"/>
      <c r="C339" s="244" t="s">
        <v>456</v>
      </c>
      <c r="D339" s="262"/>
      <c r="E339" s="211"/>
      <c r="F339" s="211"/>
      <c r="G339" s="212">
        <v>1</v>
      </c>
      <c r="H339" s="186">
        <f>G339</f>
        <v>1</v>
      </c>
      <c r="I339" s="219"/>
    </row>
    <row r="340" customFormat="1" spans="1:9">
      <c r="A340" s="187"/>
      <c r="B340" s="187"/>
      <c r="C340" s="188"/>
      <c r="D340" s="184"/>
      <c r="E340" s="185"/>
      <c r="F340" s="185"/>
      <c r="G340" s="185"/>
      <c r="H340" s="200"/>
      <c r="I340" s="185"/>
    </row>
    <row r="341" s="127" customFormat="1" ht="25.5" spans="1:9">
      <c r="A341" s="175" t="s">
        <v>190</v>
      </c>
      <c r="B341" s="176" t="str">
        <f>VLOOKUP(A341,Planilha!$A$11:$I$39026,4,FALSE)</f>
        <v>Interruptor de uma tecla simples 10A/250V, com placa 4x2"</v>
      </c>
      <c r="C341" s="177" t="str">
        <f>VLOOKUP($A341,Planilha!$A$11:$I$39026,5,FALSE)</f>
        <v>und</v>
      </c>
      <c r="D341" s="178" t="s">
        <v>405</v>
      </c>
      <c r="E341" s="179" t="s">
        <v>407</v>
      </c>
      <c r="F341" s="179" t="s">
        <v>473</v>
      </c>
      <c r="G341" s="179" t="s">
        <v>466</v>
      </c>
      <c r="H341" s="180" t="s">
        <v>457</v>
      </c>
      <c r="I341" s="219">
        <f>SUM(H342:H347)</f>
        <v>7</v>
      </c>
    </row>
    <row r="342" s="127" customFormat="1" spans="1:9">
      <c r="A342" s="211"/>
      <c r="B342" s="211"/>
      <c r="C342" s="183" t="s">
        <v>420</v>
      </c>
      <c r="D342" s="198"/>
      <c r="E342" s="211"/>
      <c r="F342" s="211"/>
      <c r="G342" s="212">
        <v>1</v>
      </c>
      <c r="H342" s="186">
        <f t="shared" ref="H342:H347" si="23">G342</f>
        <v>1</v>
      </c>
      <c r="I342" s="219"/>
    </row>
    <row r="343" s="127" customFormat="1" spans="1:9">
      <c r="A343" s="211"/>
      <c r="B343" s="211"/>
      <c r="C343" s="183" t="s">
        <v>453</v>
      </c>
      <c r="D343" s="198"/>
      <c r="E343" s="211"/>
      <c r="F343" s="211"/>
      <c r="G343" s="212">
        <v>2</v>
      </c>
      <c r="H343" s="186">
        <f t="shared" si="23"/>
        <v>2</v>
      </c>
      <c r="I343" s="211"/>
    </row>
    <row r="344" s="127" customFormat="1" spans="1:9">
      <c r="A344" s="211"/>
      <c r="B344" s="211"/>
      <c r="C344" s="183" t="s">
        <v>422</v>
      </c>
      <c r="D344" s="198"/>
      <c r="E344" s="211"/>
      <c r="F344" s="211"/>
      <c r="G344" s="212">
        <v>1</v>
      </c>
      <c r="H344" s="186">
        <f t="shared" si="23"/>
        <v>1</v>
      </c>
      <c r="I344" s="211"/>
    </row>
    <row r="345" s="127" customFormat="1" spans="1:9">
      <c r="A345" s="211"/>
      <c r="B345" s="211"/>
      <c r="C345" s="183" t="s">
        <v>456</v>
      </c>
      <c r="D345" s="198"/>
      <c r="E345" s="211"/>
      <c r="F345" s="211"/>
      <c r="G345" s="212">
        <v>1</v>
      </c>
      <c r="H345" s="186">
        <f t="shared" si="23"/>
        <v>1</v>
      </c>
      <c r="I345" s="211"/>
    </row>
    <row r="346" s="127" customFormat="1" spans="1:9">
      <c r="A346" s="211"/>
      <c r="B346" s="211"/>
      <c r="C346" s="183" t="s">
        <v>455</v>
      </c>
      <c r="D346" s="198"/>
      <c r="E346" s="211"/>
      <c r="F346" s="211"/>
      <c r="G346" s="212">
        <v>1</v>
      </c>
      <c r="H346" s="186">
        <f t="shared" si="23"/>
        <v>1</v>
      </c>
      <c r="I346" s="211"/>
    </row>
    <row r="347" s="127" customFormat="1" spans="1:9">
      <c r="A347" s="211"/>
      <c r="B347" s="211"/>
      <c r="C347" s="183" t="s">
        <v>423</v>
      </c>
      <c r="D347" s="198"/>
      <c r="E347" s="211"/>
      <c r="F347" s="211"/>
      <c r="G347" s="212">
        <v>1</v>
      </c>
      <c r="H347" s="186">
        <f t="shared" si="23"/>
        <v>1</v>
      </c>
      <c r="I347" s="211"/>
    </row>
    <row r="348" spans="1:9">
      <c r="A348" s="187"/>
      <c r="B348" s="187"/>
      <c r="C348" s="183"/>
      <c r="D348" s="189"/>
      <c r="E348" s="187"/>
      <c r="F348" s="187"/>
      <c r="G348" s="190"/>
      <c r="H348" s="186"/>
      <c r="I348" s="187"/>
    </row>
    <row r="349" s="127" customFormat="1" ht="25.5" spans="1:9">
      <c r="A349" s="175" t="s">
        <v>192</v>
      </c>
      <c r="B349" s="176" t="str">
        <f>VLOOKUP(A349,Planilha!$A$11:$I$39026,4,FALSE)</f>
        <v>Interruptor de duas teclas simples 10A/250V, com placa 4x2"</v>
      </c>
      <c r="C349" s="177" t="s">
        <v>59</v>
      </c>
      <c r="D349" s="178" t="s">
        <v>405</v>
      </c>
      <c r="E349" s="179" t="s">
        <v>407</v>
      </c>
      <c r="F349" s="179" t="s">
        <v>473</v>
      </c>
      <c r="G349" s="179" t="s">
        <v>466</v>
      </c>
      <c r="H349" s="180" t="s">
        <v>457</v>
      </c>
      <c r="I349" s="219">
        <f>SUM(H350:H354)</f>
        <v>6</v>
      </c>
    </row>
    <row r="350" s="127" customFormat="1" spans="1:9">
      <c r="A350" s="211"/>
      <c r="B350" s="211"/>
      <c r="C350" s="244" t="s">
        <v>414</v>
      </c>
      <c r="D350" s="198"/>
      <c r="E350" s="211"/>
      <c r="F350" s="211"/>
      <c r="G350" s="212">
        <v>1</v>
      </c>
      <c r="H350" s="186">
        <f t="shared" ref="H350:H354" si="24">G350</f>
        <v>1</v>
      </c>
      <c r="I350" s="219"/>
    </row>
    <row r="351" s="127" customFormat="1" spans="1:9">
      <c r="A351" s="211"/>
      <c r="B351" s="211"/>
      <c r="C351" s="244" t="s">
        <v>416</v>
      </c>
      <c r="D351" s="198"/>
      <c r="E351" s="211"/>
      <c r="F351" s="211"/>
      <c r="G351" s="212">
        <v>2</v>
      </c>
      <c r="H351" s="186">
        <f t="shared" si="24"/>
        <v>2</v>
      </c>
      <c r="I351" s="211"/>
    </row>
    <row r="352" s="127" customFormat="1" spans="1:9">
      <c r="A352" s="211"/>
      <c r="B352" s="211"/>
      <c r="C352" s="183" t="s">
        <v>418</v>
      </c>
      <c r="D352" s="198"/>
      <c r="E352" s="211"/>
      <c r="F352" s="211"/>
      <c r="G352" s="212">
        <v>1</v>
      </c>
      <c r="H352" s="186">
        <f t="shared" si="24"/>
        <v>1</v>
      </c>
      <c r="I352" s="211"/>
    </row>
    <row r="353" s="127" customFormat="1" spans="1:9">
      <c r="A353" s="211"/>
      <c r="B353" s="211"/>
      <c r="C353" s="244" t="s">
        <v>423</v>
      </c>
      <c r="D353" s="198"/>
      <c r="E353" s="211"/>
      <c r="F353" s="211"/>
      <c r="G353" s="212">
        <v>1</v>
      </c>
      <c r="H353" s="186">
        <f t="shared" si="24"/>
        <v>1</v>
      </c>
      <c r="I353" s="211"/>
    </row>
    <row r="354" s="127" customFormat="1" spans="1:9">
      <c r="A354" s="211"/>
      <c r="B354" s="211"/>
      <c r="C354" s="244" t="s">
        <v>533</v>
      </c>
      <c r="D354" s="198"/>
      <c r="E354" s="211"/>
      <c r="F354" s="211"/>
      <c r="G354" s="212">
        <v>1</v>
      </c>
      <c r="H354" s="186">
        <f t="shared" si="24"/>
        <v>1</v>
      </c>
      <c r="I354" s="211"/>
    </row>
    <row r="355" spans="1:9">
      <c r="A355" s="187"/>
      <c r="B355" s="187"/>
      <c r="C355" s="183"/>
      <c r="D355" s="189"/>
      <c r="E355" s="187"/>
      <c r="F355" s="187"/>
      <c r="G355" s="190"/>
      <c r="H355" s="186"/>
      <c r="I355" s="187"/>
    </row>
    <row r="356" s="127" customFormat="1" spans="1:9">
      <c r="A356" s="175" t="s">
        <v>194</v>
      </c>
      <c r="B356" s="176" t="str">
        <f>VLOOKUP(A356,Planilha!$A$11:$I$39026,4,FALSE)</f>
        <v>Espelho para caixa estampada 4 x 2"</v>
      </c>
      <c r="C356" s="177" t="str">
        <f>VLOOKUP($A356,Planilha!$A$11:$I$39026,5,FALSE)</f>
        <v>und</v>
      </c>
      <c r="D356" s="178" t="s">
        <v>405</v>
      </c>
      <c r="E356" s="179" t="s">
        <v>407</v>
      </c>
      <c r="F356" s="179" t="s">
        <v>473</v>
      </c>
      <c r="G356" s="179" t="s">
        <v>466</v>
      </c>
      <c r="H356" s="180" t="s">
        <v>409</v>
      </c>
      <c r="I356" s="219">
        <f>SUM(H357)</f>
        <v>2</v>
      </c>
    </row>
    <row r="357" s="127" customFormat="1" spans="1:9">
      <c r="A357" s="211"/>
      <c r="B357" s="211"/>
      <c r="C357" s="244" t="s">
        <v>416</v>
      </c>
      <c r="D357" s="198"/>
      <c r="E357" s="211"/>
      <c r="F357" s="211"/>
      <c r="G357" s="212">
        <v>2</v>
      </c>
      <c r="H357" s="186">
        <f>G357</f>
        <v>2</v>
      </c>
      <c r="I357" s="219"/>
    </row>
    <row r="358" spans="1:9">
      <c r="A358" s="187"/>
      <c r="B358" s="187"/>
      <c r="C358" s="183"/>
      <c r="D358" s="189"/>
      <c r="E358" s="187"/>
      <c r="F358" s="187"/>
      <c r="G358" s="190"/>
      <c r="H358" s="186"/>
      <c r="I358" s="187"/>
    </row>
    <row r="359" s="127" customFormat="1" ht="51" spans="1:9">
      <c r="A359" s="175" t="s">
        <v>196</v>
      </c>
      <c r="B359" s="176" t="str">
        <f>VLOOKUP(A359,Planilha!$A$11:$I$39026,4,FALSE)</f>
        <v>Ventilador de teto base madeira sem alojamento para luminária, ref. Tron ou equivalente, com comando de interruptor simples, sem dimer para regulagem de velocidade</v>
      </c>
      <c r="C359" s="177" t="str">
        <f>VLOOKUP($A359,Planilha!$A$11:$I$39026,5,FALSE)</f>
        <v>und</v>
      </c>
      <c r="D359" s="178" t="s">
        <v>405</v>
      </c>
      <c r="E359" s="179" t="s">
        <v>407</v>
      </c>
      <c r="F359" s="179" t="s">
        <v>473</v>
      </c>
      <c r="G359" s="179" t="s">
        <v>466</v>
      </c>
      <c r="H359" s="180" t="s">
        <v>409</v>
      </c>
      <c r="I359" s="219">
        <f>SUM(H360:H361)</f>
        <v>6</v>
      </c>
    </row>
    <row r="360" s="127" customFormat="1" spans="1:9">
      <c r="A360" s="211"/>
      <c r="B360" s="211"/>
      <c r="C360" s="244" t="s">
        <v>416</v>
      </c>
      <c r="D360" s="198"/>
      <c r="E360" s="211"/>
      <c r="F360" s="211"/>
      <c r="G360" s="212">
        <v>4</v>
      </c>
      <c r="H360" s="186">
        <f>G360</f>
        <v>4</v>
      </c>
      <c r="I360" s="219"/>
    </row>
    <row r="361" s="127" customFormat="1" spans="1:9">
      <c r="A361" s="211"/>
      <c r="B361" s="211"/>
      <c r="C361" s="244" t="s">
        <v>414</v>
      </c>
      <c r="D361" s="198"/>
      <c r="E361" s="211"/>
      <c r="F361" s="211"/>
      <c r="G361" s="212">
        <v>2</v>
      </c>
      <c r="H361" s="186">
        <f>G361</f>
        <v>2</v>
      </c>
      <c r="I361" s="211"/>
    </row>
    <row r="362" s="127" customFormat="1" spans="1:9">
      <c r="A362" s="211"/>
      <c r="B362" s="211"/>
      <c r="C362" s="244"/>
      <c r="D362" s="198"/>
      <c r="E362" s="211"/>
      <c r="F362" s="211"/>
      <c r="G362" s="212"/>
      <c r="H362" s="186"/>
      <c r="I362" s="211"/>
    </row>
    <row r="363" s="127" customFormat="1" ht="51" spans="1:9">
      <c r="A363" s="175" t="s">
        <v>198</v>
      </c>
      <c r="B363" s="176" t="str">
        <f>VLOOKUP(A363,Planilha!$A$11:$I$39026,4,FALSE)</f>
        <v>Ponto padrão de luz no teto - considerando eletroduto PVC rígido de 3/4" inclusive conexões (4.5m), fio isolado PVC de 2.5mm2 (16.2m) e caixa PVC 4x4" (1 und)</v>
      </c>
      <c r="C363" s="177" t="str">
        <f>VLOOKUP($A363,Planilha!$A$11:$I$39026,5,FALSE)</f>
        <v>und</v>
      </c>
      <c r="D363" s="178" t="s">
        <v>405</v>
      </c>
      <c r="E363" s="179" t="s">
        <v>407</v>
      </c>
      <c r="F363" s="179" t="s">
        <v>473</v>
      </c>
      <c r="G363" s="179" t="s">
        <v>466</v>
      </c>
      <c r="H363" s="180" t="s">
        <v>411</v>
      </c>
      <c r="I363" s="219">
        <f>SUM(H364:H364)</f>
        <v>4</v>
      </c>
    </row>
    <row r="364" s="127" customFormat="1" spans="1:9">
      <c r="A364" s="211"/>
      <c r="B364" s="211"/>
      <c r="C364" s="183" t="s">
        <v>535</v>
      </c>
      <c r="D364" s="198"/>
      <c r="E364" s="211"/>
      <c r="F364" s="211"/>
      <c r="G364" s="199">
        <v>4</v>
      </c>
      <c r="H364" s="186">
        <f>G364</f>
        <v>4</v>
      </c>
      <c r="I364" s="219"/>
    </row>
    <row r="365" customFormat="1" spans="1:9">
      <c r="A365" s="187"/>
      <c r="B365" s="187"/>
      <c r="C365" s="188"/>
      <c r="D365" s="184"/>
      <c r="E365" s="185"/>
      <c r="F365" s="185"/>
      <c r="G365" s="185"/>
      <c r="H365" s="200"/>
      <c r="I365" s="185"/>
    </row>
    <row r="366" s="127" customFormat="1" ht="51" spans="1:9">
      <c r="A366" s="175" t="s">
        <v>200</v>
      </c>
      <c r="B366" s="176" t="str">
        <f>VLOOKUP(A366,Planilha!$A$11:$I$39026,4,FALSE)</f>
        <v>Ponto padrão de tomada 2 pólos mais terra - considerando eletroduto PVC rígido de 3/4" inclusive conexões (5.0m), fio isolado PVC de 2.5mm2 (16.5m) e caixa pvc 4x2" (1 und)</v>
      </c>
      <c r="C366" s="177" t="str">
        <f>VLOOKUP($A366,Planilha!$A$11:$I$39026,5,FALSE)</f>
        <v>und</v>
      </c>
      <c r="D366" s="178" t="s">
        <v>405</v>
      </c>
      <c r="E366" s="179" t="s">
        <v>407</v>
      </c>
      <c r="F366" s="179" t="s">
        <v>473</v>
      </c>
      <c r="G366" s="179" t="s">
        <v>466</v>
      </c>
      <c r="H366" s="180" t="s">
        <v>411</v>
      </c>
      <c r="I366" s="219">
        <f>SUM(H367:H372)</f>
        <v>13</v>
      </c>
    </row>
    <row r="367" s="127" customFormat="1" spans="1:9">
      <c r="A367" s="211"/>
      <c r="B367" s="211"/>
      <c r="C367" s="183" t="s">
        <v>425</v>
      </c>
      <c r="D367" s="198"/>
      <c r="E367" s="211"/>
      <c r="F367" s="211"/>
      <c r="G367" s="199">
        <v>2</v>
      </c>
      <c r="H367" s="186">
        <f t="shared" ref="H367:H372" si="25">G367</f>
        <v>2</v>
      </c>
      <c r="I367" s="219"/>
    </row>
    <row r="368" customFormat="1" spans="1:9">
      <c r="A368" s="187"/>
      <c r="B368" s="187"/>
      <c r="C368" s="188" t="s">
        <v>423</v>
      </c>
      <c r="D368" s="184"/>
      <c r="E368" s="185"/>
      <c r="F368" s="185"/>
      <c r="G368" s="185">
        <v>2</v>
      </c>
      <c r="H368" s="186">
        <f t="shared" si="25"/>
        <v>2</v>
      </c>
      <c r="I368" s="185"/>
    </row>
    <row r="369" s="127" customFormat="1" spans="1:9">
      <c r="A369" s="211"/>
      <c r="B369" s="211"/>
      <c r="C369" s="244" t="s">
        <v>416</v>
      </c>
      <c r="D369" s="198"/>
      <c r="E369" s="211"/>
      <c r="F369" s="211"/>
      <c r="G369" s="185">
        <v>2</v>
      </c>
      <c r="H369" s="186">
        <f t="shared" si="25"/>
        <v>2</v>
      </c>
      <c r="I369" s="211"/>
    </row>
    <row r="370" s="127" customFormat="1" spans="1:9">
      <c r="A370" s="211"/>
      <c r="B370" s="211"/>
      <c r="C370" s="244" t="s">
        <v>531</v>
      </c>
      <c r="D370" s="198"/>
      <c r="E370" s="211"/>
      <c r="F370" s="211"/>
      <c r="G370" s="185">
        <v>2</v>
      </c>
      <c r="H370" s="186">
        <f t="shared" si="25"/>
        <v>2</v>
      </c>
      <c r="I370" s="211"/>
    </row>
    <row r="371" s="127" customFormat="1" spans="1:9">
      <c r="A371" s="211"/>
      <c r="B371" s="211"/>
      <c r="C371" s="244" t="s">
        <v>467</v>
      </c>
      <c r="D371" s="198"/>
      <c r="E371" s="211"/>
      <c r="F371" s="211"/>
      <c r="G371" s="185">
        <v>4</v>
      </c>
      <c r="H371" s="186">
        <f t="shared" si="25"/>
        <v>4</v>
      </c>
      <c r="I371" s="211"/>
    </row>
    <row r="372" s="127" customFormat="1" spans="1:9">
      <c r="A372" s="211"/>
      <c r="B372" s="211"/>
      <c r="C372" s="244" t="s">
        <v>455</v>
      </c>
      <c r="D372" s="198"/>
      <c r="E372" s="211"/>
      <c r="F372" s="211"/>
      <c r="G372" s="185">
        <v>1</v>
      </c>
      <c r="H372" s="186">
        <f t="shared" si="25"/>
        <v>1</v>
      </c>
      <c r="I372" s="211"/>
    </row>
    <row r="373" s="127" customFormat="1" spans="1:9">
      <c r="A373" s="211"/>
      <c r="B373" s="211"/>
      <c r="C373" s="244"/>
      <c r="D373" s="198"/>
      <c r="E373" s="211"/>
      <c r="F373" s="211"/>
      <c r="G373" s="185"/>
      <c r="H373" s="186"/>
      <c r="I373" s="211"/>
    </row>
    <row r="374" s="127" customFormat="1" ht="51" spans="1:9">
      <c r="A374" s="175" t="s">
        <v>202</v>
      </c>
      <c r="B374" s="176" t="str">
        <f>VLOOKUP(A374,Planilha!$A$11:$I$39026,4,FALSE)</f>
        <v>Ponto padrão de tomada para chuveiro elétrico - considerando eletroduto PVC rígido de 3/4" inclusive conexões (9.0m), fio isolado PVC de 6.0mm2 (32.5m) e caixa PVC 4x2" (1 und)</v>
      </c>
      <c r="C374" s="177" t="str">
        <f>VLOOKUP($A374,Planilha!$A$11:$I$39026,5,FALSE)</f>
        <v>und</v>
      </c>
      <c r="D374" s="178" t="s">
        <v>405</v>
      </c>
      <c r="E374" s="179" t="s">
        <v>407</v>
      </c>
      <c r="F374" s="179" t="s">
        <v>473</v>
      </c>
      <c r="G374" s="179" t="s">
        <v>466</v>
      </c>
      <c r="H374" s="180" t="s">
        <v>457</v>
      </c>
      <c r="I374" s="219">
        <f>SUM(H375:H375)</f>
        <v>1</v>
      </c>
    </row>
    <row r="375" s="127" customFormat="1" spans="1:9">
      <c r="A375" s="211"/>
      <c r="B375" s="211"/>
      <c r="C375" s="244" t="s">
        <v>536</v>
      </c>
      <c r="D375" s="198"/>
      <c r="E375" s="211"/>
      <c r="F375" s="211"/>
      <c r="G375" s="185">
        <v>1</v>
      </c>
      <c r="H375" s="186">
        <f>G375</f>
        <v>1</v>
      </c>
      <c r="I375" s="211"/>
    </row>
    <row r="376" s="127" customFormat="1" spans="1:9">
      <c r="A376" s="211"/>
      <c r="B376" s="211"/>
      <c r="C376" s="244"/>
      <c r="D376" s="198"/>
      <c r="E376" s="211"/>
      <c r="F376" s="211"/>
      <c r="G376" s="185"/>
      <c r="H376" s="186"/>
      <c r="I376" s="211"/>
    </row>
    <row r="377" s="127" customFormat="1" ht="25.5" spans="1:9">
      <c r="A377" s="175" t="s">
        <v>204</v>
      </c>
      <c r="B377" s="176" t="str">
        <f>VLOOKUP(A377,Planilha!$A$11:$I$39026,4,FALSE)</f>
        <v>Quadro de distribuição de energia, de embutir, com 3 divisões modulares, sem barramento</v>
      </c>
      <c r="C377" s="177" t="str">
        <f>VLOOKUP($A377,Planilha!$A$11:$I$39026,5,FALSE)</f>
        <v>und</v>
      </c>
      <c r="D377" s="178" t="s">
        <v>405</v>
      </c>
      <c r="E377" s="179" t="s">
        <v>407</v>
      </c>
      <c r="F377" s="179" t="s">
        <v>473</v>
      </c>
      <c r="G377" s="179" t="s">
        <v>466</v>
      </c>
      <c r="H377" s="180" t="s">
        <v>457</v>
      </c>
      <c r="I377" s="219">
        <f>SUM(H378:H378)</f>
        <v>1</v>
      </c>
    </row>
    <row r="378" s="127" customFormat="1" spans="1:9">
      <c r="A378" s="211"/>
      <c r="B378" s="211"/>
      <c r="C378" s="244" t="s">
        <v>537</v>
      </c>
      <c r="D378" s="198"/>
      <c r="E378" s="211"/>
      <c r="F378" s="211"/>
      <c r="G378" s="185">
        <v>1</v>
      </c>
      <c r="H378" s="186">
        <f>G378</f>
        <v>1</v>
      </c>
      <c r="I378" s="211"/>
    </row>
    <row r="379" s="127" customFormat="1" spans="1:9">
      <c r="A379" s="211"/>
      <c r="B379" s="211"/>
      <c r="C379" s="244"/>
      <c r="D379" s="198"/>
      <c r="E379" s="211"/>
      <c r="F379" s="211"/>
      <c r="G379" s="185"/>
      <c r="H379" s="186"/>
      <c r="I379" s="211"/>
    </row>
    <row r="380" s="125" customFormat="1" ht="25.5" spans="1:57">
      <c r="A380" s="175" t="s">
        <v>206</v>
      </c>
      <c r="B380" s="176" t="str">
        <f>VLOOKUP(A380,Planilha!$A$11:$I$39026,4,FALSE)</f>
        <v>Fio ou cabo de cobre termoplástico, com isolamento para 750V, seção de 16.0 mm2</v>
      </c>
      <c r="C380" s="177" t="str">
        <f>VLOOKUP($A380,Planilha!$A$11:$I$39026,5,FALSE)</f>
        <v>m</v>
      </c>
      <c r="D380" s="178" t="s">
        <v>405</v>
      </c>
      <c r="E380" s="179" t="s">
        <v>538</v>
      </c>
      <c r="F380" s="179" t="s">
        <v>539</v>
      </c>
      <c r="G380" s="179"/>
      <c r="H380" s="180" t="s">
        <v>411</v>
      </c>
      <c r="I380" s="219">
        <f>SUM(H381:H381)</f>
        <v>120</v>
      </c>
      <c r="J380" s="126"/>
      <c r="K380" s="126"/>
      <c r="L380" s="126"/>
      <c r="M380" s="126"/>
      <c r="N380" s="126"/>
      <c r="O380" s="126"/>
      <c r="P380" s="126"/>
      <c r="Q380" s="126"/>
      <c r="R380" s="126"/>
      <c r="S380" s="126"/>
      <c r="T380" s="126"/>
      <c r="U380" s="126"/>
      <c r="V380" s="126"/>
      <c r="W380" s="126"/>
      <c r="X380" s="126"/>
      <c r="Y380" s="126"/>
      <c r="Z380" s="126"/>
      <c r="AA380" s="126"/>
      <c r="AB380" s="126"/>
      <c r="AC380" s="126"/>
      <c r="AD380" s="126"/>
      <c r="AE380" s="126"/>
      <c r="AF380" s="126"/>
      <c r="AG380" s="126"/>
      <c r="AH380" s="126"/>
      <c r="AI380" s="126"/>
      <c r="AJ380" s="126"/>
      <c r="AK380" s="126"/>
      <c r="AL380" s="126"/>
      <c r="AM380" s="126"/>
      <c r="AN380" s="126"/>
      <c r="AO380" s="126"/>
      <c r="AP380" s="126"/>
      <c r="AQ380" s="126"/>
      <c r="AR380" s="126"/>
      <c r="AS380" s="126"/>
      <c r="AT380" s="126"/>
      <c r="AU380" s="126"/>
      <c r="AV380" s="126"/>
      <c r="AW380" s="126"/>
      <c r="AX380" s="126"/>
      <c r="AY380" s="126"/>
      <c r="AZ380" s="126"/>
      <c r="BA380" s="126"/>
      <c r="BB380" s="126"/>
      <c r="BC380" s="126"/>
      <c r="BD380" s="126"/>
      <c r="BE380" s="126"/>
    </row>
    <row r="381" customFormat="1" spans="1:9">
      <c r="A381" s="187"/>
      <c r="B381" s="182" t="s">
        <v>410</v>
      </c>
      <c r="C381" s="183" t="s">
        <v>540</v>
      </c>
      <c r="D381" s="184"/>
      <c r="E381" s="185"/>
      <c r="F381" s="185"/>
      <c r="G381" s="183"/>
      <c r="H381" s="186">
        <f>3*40</f>
        <v>120</v>
      </c>
      <c r="I381" s="187"/>
    </row>
    <row r="382" customFormat="1" spans="1:9">
      <c r="A382" s="187"/>
      <c r="B382" s="182"/>
      <c r="C382" s="183"/>
      <c r="D382" s="184"/>
      <c r="E382" s="185"/>
      <c r="F382" s="185"/>
      <c r="G382" s="183"/>
      <c r="H382" s="186"/>
      <c r="I382" s="187"/>
    </row>
    <row r="383" s="125" customFormat="1" ht="38.25" spans="1:57">
      <c r="A383" s="175" t="s">
        <v>208</v>
      </c>
      <c r="B383" s="176" t="str">
        <f>VLOOKUP(A383,Planilha!$A$11:$I$39026,4,FALSE)</f>
        <v>Mini-Disjuntor bipolar 32 A, curva C - 5KA 220/127VCA (NBR IEC 60947-2), Ref. Siemens, GE, Schneider ou equivalente</v>
      </c>
      <c r="C383" s="177" t="str">
        <f>VLOOKUP($A383,Planilha!$A$11:$I$39026,5,FALSE)</f>
        <v>und</v>
      </c>
      <c r="D383" s="178" t="s">
        <v>405</v>
      </c>
      <c r="E383" s="179" t="s">
        <v>538</v>
      </c>
      <c r="F383" s="179" t="s">
        <v>539</v>
      </c>
      <c r="G383" s="179"/>
      <c r="H383" s="180" t="s">
        <v>411</v>
      </c>
      <c r="I383" s="219">
        <f>SUM(H384:H384)</f>
        <v>1</v>
      </c>
      <c r="J383" s="126"/>
      <c r="K383" s="126"/>
      <c r="L383" s="126"/>
      <c r="M383" s="126"/>
      <c r="N383" s="126"/>
      <c r="O383" s="126"/>
      <c r="P383" s="126"/>
      <c r="Q383" s="126"/>
      <c r="R383" s="126"/>
      <c r="S383" s="126"/>
      <c r="T383" s="126"/>
      <c r="U383" s="126"/>
      <c r="V383" s="126"/>
      <c r="W383" s="126"/>
      <c r="X383" s="126"/>
      <c r="Y383" s="126"/>
      <c r="Z383" s="126"/>
      <c r="AA383" s="126"/>
      <c r="AB383" s="126"/>
      <c r="AC383" s="126"/>
      <c r="AD383" s="126"/>
      <c r="AE383" s="126"/>
      <c r="AF383" s="126"/>
      <c r="AG383" s="126"/>
      <c r="AH383" s="126"/>
      <c r="AI383" s="126"/>
      <c r="AJ383" s="126"/>
      <c r="AK383" s="126"/>
      <c r="AL383" s="126"/>
      <c r="AM383" s="126"/>
      <c r="AN383" s="126"/>
      <c r="AO383" s="126"/>
      <c r="AP383" s="126"/>
      <c r="AQ383" s="126"/>
      <c r="AR383" s="126"/>
      <c r="AS383" s="126"/>
      <c r="AT383" s="126"/>
      <c r="AU383" s="126"/>
      <c r="AV383" s="126"/>
      <c r="AW383" s="126"/>
      <c r="AX383" s="126"/>
      <c r="AY383" s="126"/>
      <c r="AZ383" s="126"/>
      <c r="BA383" s="126"/>
      <c r="BB383" s="126"/>
      <c r="BC383" s="126"/>
      <c r="BD383" s="126"/>
      <c r="BE383" s="126"/>
    </row>
    <row r="384" customFormat="1" spans="1:9">
      <c r="A384" s="187"/>
      <c r="B384" s="182" t="s">
        <v>410</v>
      </c>
      <c r="C384" s="244" t="s">
        <v>541</v>
      </c>
      <c r="D384" s="198"/>
      <c r="E384" s="211"/>
      <c r="F384" s="211"/>
      <c r="G384" s="185">
        <v>1</v>
      </c>
      <c r="H384" s="186">
        <f>G384</f>
        <v>1</v>
      </c>
      <c r="I384" s="187"/>
    </row>
    <row r="385" customFormat="1" spans="1:9">
      <c r="A385" s="187"/>
      <c r="B385" s="182"/>
      <c r="C385" s="183"/>
      <c r="D385" s="184"/>
      <c r="E385" s="185"/>
      <c r="F385" s="185"/>
      <c r="G385" s="183"/>
      <c r="H385" s="186"/>
      <c r="I385" s="187"/>
    </row>
    <row r="386" s="125" customFormat="1" ht="38.25" spans="1:57">
      <c r="A386" s="175" t="s">
        <v>210</v>
      </c>
      <c r="B386" s="176" t="str">
        <f>VLOOKUP(A386,Planilha!$A$11:$I$39026,4,FALSE)</f>
        <v>Mini-Disjuntor bipolar 40 A, curva C - 5KA 220/127VCA (NBR IEC 60947-2), Ref. Siemens, GE, Schneider ou equivalente</v>
      </c>
      <c r="C386" s="177" t="str">
        <f>VLOOKUP($A386,Planilha!$A$11:$I$39026,5,FALSE)</f>
        <v>und</v>
      </c>
      <c r="D386" s="178" t="s">
        <v>405</v>
      </c>
      <c r="E386" s="179" t="s">
        <v>538</v>
      </c>
      <c r="F386" s="179" t="s">
        <v>539</v>
      </c>
      <c r="G386" s="179"/>
      <c r="H386" s="180" t="s">
        <v>411</v>
      </c>
      <c r="I386" s="219">
        <f>SUM(H387:H387)</f>
        <v>1</v>
      </c>
      <c r="J386" s="126"/>
      <c r="K386" s="126"/>
      <c r="L386" s="126"/>
      <c r="M386" s="126"/>
      <c r="N386" s="126"/>
      <c r="O386" s="126"/>
      <c r="P386" s="126"/>
      <c r="Q386" s="126"/>
      <c r="R386" s="126"/>
      <c r="S386" s="126"/>
      <c r="T386" s="126"/>
      <c r="U386" s="126"/>
      <c r="V386" s="126"/>
      <c r="W386" s="126"/>
      <c r="X386" s="126"/>
      <c r="Y386" s="126"/>
      <c r="Z386" s="126"/>
      <c r="AA386" s="126"/>
      <c r="AB386" s="126"/>
      <c r="AC386" s="126"/>
      <c r="AD386" s="126"/>
      <c r="AE386" s="126"/>
      <c r="AF386" s="126"/>
      <c r="AG386" s="126"/>
      <c r="AH386" s="126"/>
      <c r="AI386" s="126"/>
      <c r="AJ386" s="126"/>
      <c r="AK386" s="126"/>
      <c r="AL386" s="126"/>
      <c r="AM386" s="126"/>
      <c r="AN386" s="126"/>
      <c r="AO386" s="126"/>
      <c r="AP386" s="126"/>
      <c r="AQ386" s="126"/>
      <c r="AR386" s="126"/>
      <c r="AS386" s="126"/>
      <c r="AT386" s="126"/>
      <c r="AU386" s="126"/>
      <c r="AV386" s="126"/>
      <c r="AW386" s="126"/>
      <c r="AX386" s="126"/>
      <c r="AY386" s="126"/>
      <c r="AZ386" s="126"/>
      <c r="BA386" s="126"/>
      <c r="BB386" s="126"/>
      <c r="BC386" s="126"/>
      <c r="BD386" s="126"/>
      <c r="BE386" s="126"/>
    </row>
    <row r="387" customFormat="1" spans="1:9">
      <c r="A387" s="187"/>
      <c r="B387" s="182" t="s">
        <v>410</v>
      </c>
      <c r="C387" s="244" t="s">
        <v>542</v>
      </c>
      <c r="D387" s="198"/>
      <c r="E387" s="211"/>
      <c r="F387" s="211"/>
      <c r="G387" s="185">
        <v>1</v>
      </c>
      <c r="H387" s="186">
        <f>G387</f>
        <v>1</v>
      </c>
      <c r="I387" s="187"/>
    </row>
    <row r="388" customFormat="1" spans="1:9">
      <c r="A388" s="187"/>
      <c r="B388" s="187"/>
      <c r="C388" s="183"/>
      <c r="D388" s="189"/>
      <c r="E388" s="187"/>
      <c r="F388" s="187"/>
      <c r="G388" s="190"/>
      <c r="H388" s="186"/>
      <c r="I388" s="187"/>
    </row>
    <row r="389" s="127" customFormat="1" ht="38.25" spans="1:9">
      <c r="A389" s="175" t="s">
        <v>214</v>
      </c>
      <c r="B389" s="176" t="str">
        <f>VLOOKUP(A389,Planilha!$A$11:$I$39026,4,FALSE)</f>
        <v>Pintura com tinta acrílica, marcas de referência Suvinil, Coral ou Metalatex, inclusive selador acrílico, em paredes e forros, a três demãos</v>
      </c>
      <c r="C389" s="177" t="str">
        <f>VLOOKUP($A389,Planilha!$A$11:$I$39026,5,FALSE)</f>
        <v>m²</v>
      </c>
      <c r="D389" s="178" t="s">
        <v>405</v>
      </c>
      <c r="E389" s="179" t="s">
        <v>407</v>
      </c>
      <c r="F389" s="179" t="s">
        <v>406</v>
      </c>
      <c r="G389" s="179" t="s">
        <v>431</v>
      </c>
      <c r="H389" s="180" t="s">
        <v>409</v>
      </c>
      <c r="I389" s="219">
        <f>SUM(H390:H391)</f>
        <v>34.46</v>
      </c>
    </row>
    <row r="390" spans="1:9">
      <c r="A390" s="187"/>
      <c r="B390" s="211"/>
      <c r="C390" s="183" t="s">
        <v>543</v>
      </c>
      <c r="D390" s="194">
        <v>1.65</v>
      </c>
      <c r="E390" s="194">
        <v>1.8</v>
      </c>
      <c r="F390" s="259">
        <v>1.3</v>
      </c>
      <c r="G390" s="183"/>
      <c r="H390" s="260">
        <f>(D390*E390+F390*E390-G390)*2</f>
        <v>10.62</v>
      </c>
      <c r="I390" s="187"/>
    </row>
    <row r="391" customFormat="1" spans="1:9">
      <c r="A391" s="187"/>
      <c r="B391" s="211"/>
      <c r="C391" s="183" t="s">
        <v>519</v>
      </c>
      <c r="D391" s="184">
        <f>2.85+3.95</f>
        <v>6.8</v>
      </c>
      <c r="E391" s="185">
        <v>1.8</v>
      </c>
      <c r="F391" s="185">
        <v>0</v>
      </c>
      <c r="G391" s="212">
        <f>2*(1.2*1.8-2)</f>
        <v>0.32</v>
      </c>
      <c r="H391" s="207">
        <f>(D391*E391+F391-G391)*2</f>
        <v>23.84</v>
      </c>
      <c r="I391" s="187"/>
    </row>
    <row r="392" customFormat="1" spans="1:9">
      <c r="A392" s="187"/>
      <c r="B392" s="187"/>
      <c r="C392" s="188"/>
      <c r="D392" s="212"/>
      <c r="E392" s="198"/>
      <c r="F392" s="185"/>
      <c r="G392" s="212"/>
      <c r="H392" s="211"/>
      <c r="I392" s="186"/>
    </row>
    <row r="393" s="127" customFormat="1" ht="38.25" spans="1:9">
      <c r="A393" s="175" t="s">
        <v>216</v>
      </c>
      <c r="B393" s="176" t="str">
        <f>VLOOKUP(A393,Planilha!$A$11:$I$39026,4,FALSE)</f>
        <v>Pintura com tinta acrílica, marcas de referência Suvinil, Coral e Metalatex, inclusive selador acrílico, em paredes e forros, a duas demãos</v>
      </c>
      <c r="C393" s="177" t="str">
        <f>VLOOKUP($A393,Planilha!$A$11:$I$39026,5,FALSE)</f>
        <v>m²</v>
      </c>
      <c r="D393" s="178" t="s">
        <v>405</v>
      </c>
      <c r="E393" s="179" t="s">
        <v>407</v>
      </c>
      <c r="F393" s="179" t="s">
        <v>406</v>
      </c>
      <c r="G393" s="179" t="s">
        <v>431</v>
      </c>
      <c r="H393" s="180" t="s">
        <v>409</v>
      </c>
      <c r="I393" s="219">
        <f>SUM(H394:H412)</f>
        <v>658.545</v>
      </c>
    </row>
    <row r="394" s="127" customFormat="1" spans="1:9">
      <c r="A394" s="211"/>
      <c r="B394" s="211"/>
      <c r="C394" s="183"/>
      <c r="D394" s="198" t="s">
        <v>435</v>
      </c>
      <c r="E394" s="211" t="s">
        <v>436</v>
      </c>
      <c r="F394" s="211" t="s">
        <v>437</v>
      </c>
      <c r="G394" s="212" t="s">
        <v>438</v>
      </c>
      <c r="H394" s="207"/>
      <c r="I394" s="219"/>
    </row>
    <row r="395" s="127" customFormat="1" spans="1:9">
      <c r="A395" s="211"/>
      <c r="B395" s="211" t="s">
        <v>434</v>
      </c>
      <c r="C395" s="183" t="s">
        <v>439</v>
      </c>
      <c r="D395" s="198">
        <f>8.25+11.4</f>
        <v>19.65</v>
      </c>
      <c r="E395" s="211">
        <v>3.3</v>
      </c>
      <c r="F395" s="211"/>
      <c r="G395" s="212">
        <f>(1.2*1.8-2)*3</f>
        <v>0.48</v>
      </c>
      <c r="H395" s="207">
        <f t="shared" ref="H395:H403" si="26">D395*E395+F395-G395</f>
        <v>64.365</v>
      </c>
      <c r="I395" s="211"/>
    </row>
    <row r="396" s="127" customFormat="1" spans="1:9">
      <c r="A396" s="211"/>
      <c r="C396" s="183" t="s">
        <v>544</v>
      </c>
      <c r="D396" s="198">
        <v>8.15</v>
      </c>
      <c r="E396" s="211">
        <v>5.6</v>
      </c>
      <c r="F396" s="211"/>
      <c r="G396" s="212">
        <v>0</v>
      </c>
      <c r="H396" s="207">
        <f t="shared" si="26"/>
        <v>45.64</v>
      </c>
      <c r="I396" s="211"/>
    </row>
    <row r="397" s="127" customFormat="1" spans="1:9">
      <c r="A397" s="211"/>
      <c r="B397" s="211"/>
      <c r="C397" s="183" t="s">
        <v>441</v>
      </c>
      <c r="D397" s="198"/>
      <c r="E397" s="211"/>
      <c r="F397" s="211">
        <v>54.21</v>
      </c>
      <c r="G397" s="212"/>
      <c r="H397" s="207">
        <f t="shared" si="26"/>
        <v>54.21</v>
      </c>
      <c r="I397" s="211"/>
    </row>
    <row r="398" s="127" customFormat="1" spans="1:9">
      <c r="A398" s="211"/>
      <c r="B398" s="211"/>
      <c r="C398" s="183" t="s">
        <v>442</v>
      </c>
      <c r="D398" s="198"/>
      <c r="E398" s="211"/>
      <c r="F398" s="211">
        <v>37.88</v>
      </c>
      <c r="G398" s="212"/>
      <c r="H398" s="207">
        <f t="shared" si="26"/>
        <v>37.88</v>
      </c>
      <c r="I398" s="211"/>
    </row>
    <row r="399" s="127" customFormat="1" spans="1:9">
      <c r="A399" s="211"/>
      <c r="B399" s="211"/>
      <c r="C399" s="183" t="s">
        <v>443</v>
      </c>
      <c r="D399" s="198"/>
      <c r="E399" s="211"/>
      <c r="F399" s="211">
        <v>24.03</v>
      </c>
      <c r="G399" s="212">
        <v>0</v>
      </c>
      <c r="H399" s="207">
        <f t="shared" si="26"/>
        <v>24.03</v>
      </c>
      <c r="I399" s="211"/>
    </row>
    <row r="400" s="127" customFormat="1" spans="1:9">
      <c r="A400" s="211"/>
      <c r="B400" s="211"/>
      <c r="C400" s="183" t="s">
        <v>444</v>
      </c>
      <c r="D400" s="198"/>
      <c r="E400" s="211"/>
      <c r="F400" s="211">
        <v>27.1</v>
      </c>
      <c r="G400" s="212">
        <v>7.17</v>
      </c>
      <c r="H400" s="207">
        <f t="shared" si="26"/>
        <v>19.93</v>
      </c>
      <c r="I400" s="186"/>
    </row>
    <row r="401" s="127" customFormat="1" spans="1:9">
      <c r="A401" s="211"/>
      <c r="B401" s="211"/>
      <c r="C401" s="183" t="s">
        <v>445</v>
      </c>
      <c r="D401" s="198">
        <f>4.15+19.55</f>
        <v>23.7</v>
      </c>
      <c r="E401" s="211">
        <v>3.3</v>
      </c>
      <c r="F401" s="211"/>
      <c r="G401" s="212">
        <f>10*(1.2*1.8-2)</f>
        <v>1.6</v>
      </c>
      <c r="H401" s="207">
        <f t="shared" si="26"/>
        <v>76.61</v>
      </c>
      <c r="I401" s="186"/>
    </row>
    <row r="402" s="127" customFormat="1" spans="1:9">
      <c r="A402" s="211"/>
      <c r="B402" s="211"/>
      <c r="C402" s="183" t="s">
        <v>446</v>
      </c>
      <c r="D402" s="198"/>
      <c r="E402" s="211"/>
      <c r="F402" s="211">
        <v>10.3</v>
      </c>
      <c r="G402" s="212">
        <v>0</v>
      </c>
      <c r="H402" s="207">
        <f t="shared" si="26"/>
        <v>10.3</v>
      </c>
      <c r="I402" s="211"/>
    </row>
    <row r="403" s="127" customFormat="1" spans="1:9">
      <c r="A403" s="211"/>
      <c r="B403" s="211"/>
      <c r="C403" s="183"/>
      <c r="D403" s="184" t="s">
        <v>405</v>
      </c>
      <c r="E403" s="185" t="s">
        <v>407</v>
      </c>
      <c r="F403" s="185" t="s">
        <v>406</v>
      </c>
      <c r="G403" s="212" t="s">
        <v>438</v>
      </c>
      <c r="H403" s="207"/>
      <c r="I403" s="211"/>
    </row>
    <row r="404" s="127" customFormat="1" spans="1:9">
      <c r="A404" s="211"/>
      <c r="B404" s="211" t="s">
        <v>432</v>
      </c>
      <c r="C404" s="183" t="s">
        <v>414</v>
      </c>
      <c r="D404" s="184">
        <v>6</v>
      </c>
      <c r="E404" s="185">
        <v>1.8</v>
      </c>
      <c r="F404" s="185">
        <v>7.95</v>
      </c>
      <c r="G404" s="185">
        <f>3*(1.2*1.8-2)</f>
        <v>0.48</v>
      </c>
      <c r="H404" s="186">
        <f t="shared" ref="H404:H408" si="27">((2*D404+2*F404)*E404)-G404</f>
        <v>49.74</v>
      </c>
      <c r="I404" s="211"/>
    </row>
    <row r="405" s="127" customFormat="1" spans="1:9">
      <c r="A405" s="211"/>
      <c r="B405" s="211"/>
      <c r="C405" s="183" t="s">
        <v>416</v>
      </c>
      <c r="D405" s="184">
        <v>8</v>
      </c>
      <c r="E405" s="185">
        <v>1.8</v>
      </c>
      <c r="F405" s="185">
        <v>6</v>
      </c>
      <c r="G405" s="185">
        <f>4*(1.2*1.8-2)</f>
        <v>0.640000000000001</v>
      </c>
      <c r="H405" s="186">
        <f t="shared" si="27"/>
        <v>49.76</v>
      </c>
      <c r="I405" s="211"/>
    </row>
    <row r="406" s="127" customFormat="1" spans="1:9">
      <c r="A406" s="211"/>
      <c r="C406" s="183" t="s">
        <v>418</v>
      </c>
      <c r="D406" s="198">
        <v>6</v>
      </c>
      <c r="E406" s="185">
        <v>1.8</v>
      </c>
      <c r="F406" s="211">
        <v>7.05</v>
      </c>
      <c r="G406" s="212">
        <f>(6*1.8-2+7.05*1.8-2+2.95*1.8-2)</f>
        <v>22.8</v>
      </c>
      <c r="H406" s="186">
        <f t="shared" si="27"/>
        <v>24.18</v>
      </c>
      <c r="I406" s="211"/>
    </row>
    <row r="407" s="127" customFormat="1" spans="1:9">
      <c r="A407" s="211"/>
      <c r="B407" s="211"/>
      <c r="C407" s="183" t="s">
        <v>420</v>
      </c>
      <c r="D407" s="198">
        <v>2.95</v>
      </c>
      <c r="E407" s="185">
        <v>1.8</v>
      </c>
      <c r="F407" s="211">
        <v>2.55</v>
      </c>
      <c r="G407" s="212">
        <v>3.38</v>
      </c>
      <c r="H407" s="186">
        <f t="shared" si="27"/>
        <v>16.42</v>
      </c>
      <c r="I407" s="211"/>
    </row>
    <row r="408" s="127" customFormat="1" spans="1:9">
      <c r="A408" s="211"/>
      <c r="B408" s="211"/>
      <c r="C408" s="183" t="s">
        <v>421</v>
      </c>
      <c r="D408" s="198">
        <v>2.95</v>
      </c>
      <c r="E408" s="185">
        <v>1.8</v>
      </c>
      <c r="F408" s="233">
        <v>1.7</v>
      </c>
      <c r="G408" s="212">
        <f>1.15*1.8-2</f>
        <v>0.0699999999999998</v>
      </c>
      <c r="H408" s="186">
        <f t="shared" si="27"/>
        <v>16.67</v>
      </c>
      <c r="I408" s="211"/>
    </row>
    <row r="409" s="127" customFormat="1" spans="1:9">
      <c r="A409" s="211"/>
      <c r="B409" s="211"/>
      <c r="C409" s="183" t="s">
        <v>422</v>
      </c>
      <c r="D409" s="198">
        <v>3.9</v>
      </c>
      <c r="E409" s="185">
        <v>1.8</v>
      </c>
      <c r="F409" s="202">
        <v>2.6</v>
      </c>
      <c r="G409" s="199"/>
      <c r="H409" s="186">
        <f>((2*D409+1*F409)*E409)-G409</f>
        <v>18.72</v>
      </c>
      <c r="I409" s="211"/>
    </row>
    <row r="410" s="127" customFormat="1" spans="1:9">
      <c r="A410" s="211"/>
      <c r="B410" s="211"/>
      <c r="C410" s="183" t="s">
        <v>423</v>
      </c>
      <c r="D410" s="198">
        <v>3.8</v>
      </c>
      <c r="E410" s="185">
        <v>1.8</v>
      </c>
      <c r="F410" s="202">
        <v>5.85</v>
      </c>
      <c r="G410" s="199"/>
      <c r="H410" s="186">
        <f>((2*D410+2*F410)*E410)-G410</f>
        <v>34.74</v>
      </c>
      <c r="I410" s="211"/>
    </row>
    <row r="411" s="127" customFormat="1" spans="1:9">
      <c r="A411" s="211"/>
      <c r="B411" s="211"/>
      <c r="C411" s="183"/>
      <c r="D411" s="184"/>
      <c r="E411" s="185"/>
      <c r="F411" s="185"/>
      <c r="G411" s="212"/>
      <c r="H411" s="186"/>
      <c r="I411" s="211"/>
    </row>
    <row r="412" s="127" customFormat="1" ht="30" spans="1:9">
      <c r="A412" s="211"/>
      <c r="B412" s="211" t="s">
        <v>545</v>
      </c>
      <c r="C412" s="183" t="s">
        <v>448</v>
      </c>
      <c r="D412" s="184" t="s">
        <v>449</v>
      </c>
      <c r="E412" s="185"/>
      <c r="F412" s="185"/>
      <c r="G412" s="212"/>
      <c r="H412" s="186">
        <v>115.35</v>
      </c>
      <c r="I412" s="211"/>
    </row>
    <row r="413" customFormat="1" spans="1:9">
      <c r="A413" s="187"/>
      <c r="B413" s="211"/>
      <c r="C413" s="183"/>
      <c r="D413" s="194"/>
      <c r="E413" s="194"/>
      <c r="F413" s="259"/>
      <c r="G413" s="183"/>
      <c r="H413" s="260"/>
      <c r="I413" s="187"/>
    </row>
    <row r="414" s="128" customFormat="1" ht="51" spans="1:30">
      <c r="A414" s="175" t="s">
        <v>218</v>
      </c>
      <c r="B414" s="176" t="str">
        <f>VLOOKUP(A414,Planilha!$A$11:$I$39026,4,FALSE)</f>
        <v>Pintura com tinta esmalte sintético, marcas de referência Suvinil, Coral ou Metalatex, a duas demãos, inclusive fundo anticorrosivo a uma demão, em metal</v>
      </c>
      <c r="C414" s="177" t="str">
        <f>VLOOKUP($A414,Planilha!$A$11:$I$39026,5,FALSE)</f>
        <v>m²</v>
      </c>
      <c r="D414" s="178" t="s">
        <v>405</v>
      </c>
      <c r="E414" s="179" t="s">
        <v>407</v>
      </c>
      <c r="F414" s="179" t="s">
        <v>546</v>
      </c>
      <c r="G414" s="179" t="s">
        <v>408</v>
      </c>
      <c r="H414" s="180" t="s">
        <v>409</v>
      </c>
      <c r="I414" s="219">
        <f>SUM(H416:H426)</f>
        <v>181.1</v>
      </c>
      <c r="J414" s="127"/>
      <c r="K414" s="127"/>
      <c r="L414" s="127"/>
      <c r="M414" s="127"/>
      <c r="N414" s="127"/>
      <c r="O414" s="127"/>
      <c r="P414" s="127"/>
      <c r="Q414" s="127"/>
      <c r="R414" s="127"/>
      <c r="S414" s="127"/>
      <c r="T414" s="127"/>
      <c r="U414" s="127"/>
      <c r="V414" s="127"/>
      <c r="W414" s="127"/>
      <c r="X414" s="127"/>
      <c r="Y414" s="127"/>
      <c r="Z414" s="127"/>
      <c r="AA414" s="127"/>
      <c r="AB414" s="127"/>
      <c r="AC414" s="127"/>
      <c r="AD414" s="127"/>
    </row>
    <row r="415" s="128" customFormat="1" spans="1:30">
      <c r="A415" s="181"/>
      <c r="B415" s="182" t="s">
        <v>410</v>
      </c>
      <c r="C415" s="263" t="s">
        <v>547</v>
      </c>
      <c r="D415" s="253"/>
      <c r="E415" s="253"/>
      <c r="F415" s="253"/>
      <c r="G415" s="253"/>
      <c r="H415" s="264"/>
      <c r="I415" s="219"/>
      <c r="J415" s="127"/>
      <c r="K415" s="127"/>
      <c r="L415" s="127"/>
      <c r="M415" s="127"/>
      <c r="N415" s="127"/>
      <c r="O415" s="127"/>
      <c r="P415" s="127"/>
      <c r="Q415" s="127"/>
      <c r="R415" s="127"/>
      <c r="S415" s="127"/>
      <c r="T415" s="127"/>
      <c r="U415" s="127"/>
      <c r="V415" s="127"/>
      <c r="W415" s="127"/>
      <c r="X415" s="127"/>
      <c r="Y415" s="127"/>
      <c r="Z415" s="127"/>
      <c r="AA415" s="127"/>
      <c r="AB415" s="127"/>
      <c r="AC415" s="127"/>
      <c r="AD415" s="127"/>
    </row>
    <row r="416" s="127" customFormat="1" spans="1:9">
      <c r="A416" s="181"/>
      <c r="B416" s="182"/>
      <c r="C416" s="183" t="s">
        <v>496</v>
      </c>
      <c r="D416" s="184">
        <v>2.2</v>
      </c>
      <c r="E416" s="185">
        <v>1.8</v>
      </c>
      <c r="F416" s="185">
        <v>2</v>
      </c>
      <c r="G416" s="212">
        <v>8</v>
      </c>
      <c r="H416" s="186">
        <f t="shared" ref="H416:H421" si="28">G416*E416*D416*F416</f>
        <v>63.36</v>
      </c>
      <c r="I416" s="243"/>
    </row>
    <row r="417" s="127" customFormat="1" spans="1:9">
      <c r="A417" s="211"/>
      <c r="B417" s="211"/>
      <c r="C417" s="183" t="s">
        <v>497</v>
      </c>
      <c r="D417" s="184">
        <v>2.4</v>
      </c>
      <c r="E417" s="185">
        <v>1.6</v>
      </c>
      <c r="F417" s="185">
        <v>2</v>
      </c>
      <c r="G417" s="212">
        <v>2</v>
      </c>
      <c r="H417" s="186">
        <f t="shared" si="28"/>
        <v>15.36</v>
      </c>
      <c r="I417" s="211"/>
    </row>
    <row r="418" s="127" customFormat="1" spans="1:9">
      <c r="A418" s="211"/>
      <c r="B418" s="211"/>
      <c r="C418" s="183" t="s">
        <v>509</v>
      </c>
      <c r="D418" s="184">
        <v>2</v>
      </c>
      <c r="E418" s="185">
        <v>1</v>
      </c>
      <c r="F418" s="185">
        <v>2</v>
      </c>
      <c r="G418" s="212">
        <v>1</v>
      </c>
      <c r="H418" s="186">
        <f t="shared" si="28"/>
        <v>4</v>
      </c>
      <c r="I418" s="211"/>
    </row>
    <row r="419" s="127" customFormat="1" ht="30" spans="1:9">
      <c r="A419" s="265"/>
      <c r="B419" s="265"/>
      <c r="C419" s="183" t="s">
        <v>515</v>
      </c>
      <c r="D419" s="184">
        <v>1.2</v>
      </c>
      <c r="E419" s="185">
        <v>2.1</v>
      </c>
      <c r="F419" s="185">
        <v>2</v>
      </c>
      <c r="G419" s="212">
        <v>1</v>
      </c>
      <c r="H419" s="186">
        <f t="shared" si="28"/>
        <v>5.04</v>
      </c>
      <c r="I419" s="265"/>
    </row>
    <row r="420" s="127" customFormat="1" spans="1:9">
      <c r="A420" s="265"/>
      <c r="B420" s="265"/>
      <c r="C420" s="183" t="s">
        <v>514</v>
      </c>
      <c r="D420" s="184">
        <v>0.8</v>
      </c>
      <c r="E420" s="185">
        <v>2.1</v>
      </c>
      <c r="F420" s="185">
        <v>2</v>
      </c>
      <c r="G420" s="212">
        <v>2</v>
      </c>
      <c r="H420" s="186">
        <f t="shared" si="28"/>
        <v>6.72</v>
      </c>
      <c r="I420" s="265"/>
    </row>
    <row r="421" s="127" customFormat="1" spans="1:9">
      <c r="A421" s="265"/>
      <c r="B421" s="265"/>
      <c r="C421" s="266" t="s">
        <v>510</v>
      </c>
      <c r="D421" s="184">
        <v>1.8</v>
      </c>
      <c r="E421" s="185">
        <v>1.1</v>
      </c>
      <c r="F421" s="185">
        <v>2</v>
      </c>
      <c r="G421" s="212">
        <v>1</v>
      </c>
      <c r="H421" s="186">
        <f t="shared" si="28"/>
        <v>3.96</v>
      </c>
      <c r="I421" s="265"/>
    </row>
    <row r="422" s="127" customFormat="1" spans="1:9">
      <c r="A422" s="211"/>
      <c r="B422" s="211"/>
      <c r="C422" s="251" t="s">
        <v>548</v>
      </c>
      <c r="D422" s="267"/>
      <c r="E422" s="267"/>
      <c r="F422" s="267"/>
      <c r="G422" s="267"/>
      <c r="H422" s="268"/>
      <c r="I422" s="211"/>
    </row>
    <row r="423" s="129" customFormat="1" spans="1:9">
      <c r="A423" s="211"/>
      <c r="B423" s="211"/>
      <c r="C423" s="256"/>
      <c r="D423" s="256" t="s">
        <v>459</v>
      </c>
      <c r="E423" s="256" t="s">
        <v>460</v>
      </c>
      <c r="F423" s="256"/>
      <c r="G423" s="256"/>
      <c r="H423" s="186"/>
      <c r="I423" s="211"/>
    </row>
    <row r="424" s="127" customFormat="1" spans="1:9">
      <c r="A424" s="211"/>
      <c r="B424" s="211"/>
      <c r="C424" s="183" t="s">
        <v>418</v>
      </c>
      <c r="D424" s="184">
        <v>7.12</v>
      </c>
      <c r="E424" s="185">
        <f>1.5*2.7</f>
        <v>4.05</v>
      </c>
      <c r="F424" s="185">
        <v>2</v>
      </c>
      <c r="G424" s="212">
        <v>1</v>
      </c>
      <c r="H424" s="186">
        <f>(D424+E424)*G424*F424</f>
        <v>22.34</v>
      </c>
      <c r="I424" s="211"/>
    </row>
    <row r="425" s="127" customFormat="1" spans="1:9">
      <c r="A425" s="269"/>
      <c r="B425" s="269"/>
      <c r="C425" s="270" t="s">
        <v>461</v>
      </c>
      <c r="D425" s="271">
        <v>3.52</v>
      </c>
      <c r="E425" s="272"/>
      <c r="F425" s="272">
        <v>2</v>
      </c>
      <c r="G425" s="273">
        <v>8</v>
      </c>
      <c r="H425" s="186">
        <f>(D425+E425)*G425*F425</f>
        <v>56.32</v>
      </c>
      <c r="I425" s="269"/>
    </row>
    <row r="426" s="127" customFormat="1" spans="1:9">
      <c r="A426" s="211"/>
      <c r="B426" s="211"/>
      <c r="C426" s="183" t="s">
        <v>462</v>
      </c>
      <c r="D426" s="198">
        <f>1*1</f>
        <v>1</v>
      </c>
      <c r="E426" s="185"/>
      <c r="F426" s="211">
        <v>2</v>
      </c>
      <c r="G426" s="212">
        <v>2</v>
      </c>
      <c r="H426" s="186">
        <f>(D426+E426)*G426*F426</f>
        <v>4</v>
      </c>
      <c r="I426" s="211"/>
    </row>
    <row r="427" s="127" customFormat="1" spans="1:9">
      <c r="A427" s="211"/>
      <c r="B427" s="211"/>
      <c r="C427" s="183"/>
      <c r="D427" s="198"/>
      <c r="E427" s="185"/>
      <c r="F427" s="211"/>
      <c r="G427" s="212"/>
      <c r="H427" s="186"/>
      <c r="I427" s="211"/>
    </row>
    <row r="428" customFormat="1" ht="51" spans="1:9">
      <c r="A428" s="175" t="s">
        <v>220</v>
      </c>
      <c r="B428" s="176" t="str">
        <f>VLOOKUP(A428,Planilha!$A$11:$I$39026,4,FALSE)</f>
        <v>Pintura com tinta esmalte sintético, marcas de referência Suvinil, Coral ou Metalatex, inclusive fundo branco nivelador, em madeira, a duas demãos</v>
      </c>
      <c r="C428" s="177" t="str">
        <f>VLOOKUP($A428,Planilha!$A$11:$I$39026,5,FALSE)</f>
        <v>m²</v>
      </c>
      <c r="D428" s="178" t="s">
        <v>405</v>
      </c>
      <c r="E428" s="179" t="s">
        <v>436</v>
      </c>
      <c r="F428" s="179" t="s">
        <v>549</v>
      </c>
      <c r="G428" s="179" t="s">
        <v>550</v>
      </c>
      <c r="H428" s="180" t="s">
        <v>409</v>
      </c>
      <c r="I428" s="219">
        <f>SUM(H429:H434)</f>
        <v>81.27</v>
      </c>
    </row>
    <row r="429" s="127" customFormat="1" spans="1:9">
      <c r="A429" s="211"/>
      <c r="B429" s="211"/>
      <c r="C429" s="183" t="s">
        <v>551</v>
      </c>
      <c r="D429" s="198">
        <v>0.6</v>
      </c>
      <c r="E429" s="185">
        <v>2.1</v>
      </c>
      <c r="F429" s="250">
        <f>I173</f>
        <v>1</v>
      </c>
      <c r="G429" s="212">
        <v>3</v>
      </c>
      <c r="H429" s="186">
        <f>G429*F429*E429*D429</f>
        <v>3.78</v>
      </c>
      <c r="I429" s="211"/>
    </row>
    <row r="430" s="127" customFormat="1" spans="1:9">
      <c r="A430" s="211"/>
      <c r="B430" s="211"/>
      <c r="C430" s="183" t="s">
        <v>552</v>
      </c>
      <c r="D430" s="198">
        <v>0.7</v>
      </c>
      <c r="E430" s="185">
        <v>2.1</v>
      </c>
      <c r="F430" s="250">
        <f>I176</f>
        <v>2</v>
      </c>
      <c r="G430" s="212">
        <v>3</v>
      </c>
      <c r="H430" s="186">
        <f>G430*F430*E430*D430</f>
        <v>8.82</v>
      </c>
      <c r="I430" s="211"/>
    </row>
    <row r="431" s="127" customFormat="1" spans="1:9">
      <c r="A431" s="211"/>
      <c r="B431" s="211"/>
      <c r="C431" s="183" t="s">
        <v>553</v>
      </c>
      <c r="D431" s="198">
        <v>0.8</v>
      </c>
      <c r="E431" s="185">
        <v>2.1</v>
      </c>
      <c r="F431" s="250">
        <v>8</v>
      </c>
      <c r="G431" s="212">
        <v>3</v>
      </c>
      <c r="H431" s="186">
        <f>G431*F431*E431*D431</f>
        <v>40.32</v>
      </c>
      <c r="I431" s="211"/>
    </row>
    <row r="432" s="127" customFormat="1" spans="1:9">
      <c r="A432" s="211"/>
      <c r="B432" s="211"/>
      <c r="C432" s="183" t="s">
        <v>554</v>
      </c>
      <c r="D432" s="198">
        <v>0.6</v>
      </c>
      <c r="E432" s="185">
        <v>2.1</v>
      </c>
      <c r="F432" s="250">
        <f>I159</f>
        <v>1</v>
      </c>
      <c r="G432" s="212">
        <v>3</v>
      </c>
      <c r="H432" s="186">
        <f>(D432*0.15*2+E432*0.15*2)*G432*F432</f>
        <v>2.43</v>
      </c>
      <c r="I432" s="211"/>
    </row>
    <row r="433" s="127" customFormat="1" spans="1:9">
      <c r="A433" s="211"/>
      <c r="B433" s="211"/>
      <c r="C433" s="183" t="s">
        <v>555</v>
      </c>
      <c r="D433" s="198">
        <v>0.7</v>
      </c>
      <c r="E433" s="185">
        <v>2.1</v>
      </c>
      <c r="F433" s="250">
        <v>2</v>
      </c>
      <c r="G433" s="212">
        <v>3</v>
      </c>
      <c r="H433" s="186">
        <f>(D433*0.15*2+E433*0.15*2)*G433*F433</f>
        <v>5.04</v>
      </c>
      <c r="I433" s="211"/>
    </row>
    <row r="434" s="127" customFormat="1" spans="1:9">
      <c r="A434" s="211"/>
      <c r="B434" s="211"/>
      <c r="C434" s="183" t="s">
        <v>556</v>
      </c>
      <c r="D434" s="198">
        <v>0.8</v>
      </c>
      <c r="E434" s="185">
        <v>2.1</v>
      </c>
      <c r="F434" s="250">
        <v>8</v>
      </c>
      <c r="G434" s="212">
        <v>3</v>
      </c>
      <c r="H434" s="186">
        <f>(D434*0.15*2+E434*0.15*2)*G434*F434</f>
        <v>20.88</v>
      </c>
      <c r="I434" s="211"/>
    </row>
    <row r="435" s="127" customFormat="1" spans="1:9">
      <c r="A435" s="211"/>
      <c r="B435" s="211"/>
      <c r="C435" s="183"/>
      <c r="D435" s="198"/>
      <c r="E435" s="211"/>
      <c r="F435" s="211"/>
      <c r="G435" s="212"/>
      <c r="H435" s="207"/>
      <c r="I435" s="211"/>
    </row>
    <row r="436" ht="25.5" spans="1:9">
      <c r="A436" s="175" t="s">
        <v>226</v>
      </c>
      <c r="B436" s="176" t="str">
        <f>VLOOKUP(A436,Planilha!$A$11:$I$39026,4,FALSE)</f>
        <v>Escavação manual em material de 1a. categoria, até 1.50 m de profundidade</v>
      </c>
      <c r="C436" s="177" t="s">
        <v>72</v>
      </c>
      <c r="D436" s="178" t="s">
        <v>405</v>
      </c>
      <c r="E436" s="179" t="s">
        <v>406</v>
      </c>
      <c r="F436" s="179" t="s">
        <v>557</v>
      </c>
      <c r="G436" s="179" t="s">
        <v>408</v>
      </c>
      <c r="H436" s="180" t="s">
        <v>409</v>
      </c>
      <c r="I436" s="219">
        <f>SUM(H437:H438)</f>
        <v>5.408</v>
      </c>
    </row>
    <row r="437" s="127" customFormat="1" spans="1:9">
      <c r="A437" s="181"/>
      <c r="B437" s="182" t="s">
        <v>410</v>
      </c>
      <c r="C437" s="183" t="s">
        <v>558</v>
      </c>
      <c r="D437" s="184">
        <v>1</v>
      </c>
      <c r="E437" s="185">
        <v>1.3</v>
      </c>
      <c r="F437" s="185">
        <v>1.6</v>
      </c>
      <c r="G437" s="212">
        <v>2</v>
      </c>
      <c r="H437" s="186">
        <f>G437*F437*E437*D437</f>
        <v>4.16</v>
      </c>
      <c r="I437" s="220"/>
    </row>
    <row r="438" s="127" customFormat="1" spans="1:9">
      <c r="A438" s="181"/>
      <c r="B438" s="182"/>
      <c r="C438" s="183" t="s">
        <v>504</v>
      </c>
      <c r="D438" s="184">
        <v>10.4</v>
      </c>
      <c r="E438" s="185"/>
      <c r="F438" s="185">
        <v>0.12</v>
      </c>
      <c r="G438" s="212">
        <v>1</v>
      </c>
      <c r="H438" s="186">
        <f>G438*F438*D438</f>
        <v>1.248</v>
      </c>
      <c r="I438" s="220"/>
    </row>
    <row r="439" s="127" customFormat="1" spans="1:9">
      <c r="A439" s="181"/>
      <c r="B439" s="182"/>
      <c r="C439" s="183"/>
      <c r="D439" s="184"/>
      <c r="E439" s="185"/>
      <c r="F439" s="185"/>
      <c r="G439" s="212"/>
      <c r="H439" s="186"/>
      <c r="I439" s="243"/>
    </row>
    <row r="440" ht="25.5" spans="1:9">
      <c r="A440" s="175" t="s">
        <v>229</v>
      </c>
      <c r="B440" s="176" t="str">
        <f>VLOOKUP(A440,Planilha!$A$11:$I$39026,4,FALSE)</f>
        <v>Reaterro apiloado de cavas de fundação, em camadas de 20 cm</v>
      </c>
      <c r="C440" s="177" t="str">
        <f>VLOOKUP($A440,Planilha!$A$11:$I$39026,5,FALSE)</f>
        <v>m³</v>
      </c>
      <c r="D440" s="178" t="s">
        <v>405</v>
      </c>
      <c r="E440" s="179" t="s">
        <v>406</v>
      </c>
      <c r="F440" s="179" t="s">
        <v>557</v>
      </c>
      <c r="G440" s="179" t="s">
        <v>408</v>
      </c>
      <c r="H440" s="180" t="s">
        <v>409</v>
      </c>
      <c r="I440" s="219">
        <f>SUM(H441)-H442-H443</f>
        <v>3.7352</v>
      </c>
    </row>
    <row r="441" s="127" customFormat="1" spans="1:9">
      <c r="A441" s="181"/>
      <c r="B441" s="182" t="s">
        <v>410</v>
      </c>
      <c r="C441" s="183" t="s">
        <v>559</v>
      </c>
      <c r="D441" s="184">
        <v>1</v>
      </c>
      <c r="E441" s="185">
        <v>1.3</v>
      </c>
      <c r="F441" s="185">
        <v>1.6</v>
      </c>
      <c r="G441" s="212">
        <v>2</v>
      </c>
      <c r="H441" s="186">
        <f t="shared" ref="H441:H443" si="29">G441*F441*E441*D441</f>
        <v>4.16</v>
      </c>
      <c r="I441" s="220"/>
    </row>
    <row r="442" s="127" customFormat="1" spans="1:9">
      <c r="A442" s="181"/>
      <c r="B442" s="182"/>
      <c r="C442" s="183" t="s">
        <v>560</v>
      </c>
      <c r="D442" s="184">
        <v>0.6</v>
      </c>
      <c r="E442" s="185">
        <v>0.9</v>
      </c>
      <c r="F442" s="185">
        <v>0.3</v>
      </c>
      <c r="G442" s="212">
        <v>2</v>
      </c>
      <c r="H442" s="186">
        <f t="shared" si="29"/>
        <v>0.324</v>
      </c>
      <c r="I442" s="243"/>
    </row>
    <row r="443" s="127" customFormat="1" spans="1:9">
      <c r="A443" s="181"/>
      <c r="B443" s="182"/>
      <c r="C443" s="183" t="s">
        <v>561</v>
      </c>
      <c r="D443" s="184">
        <v>0.14</v>
      </c>
      <c r="E443" s="185">
        <v>0.3</v>
      </c>
      <c r="F443" s="185">
        <f>1.6-0.4</f>
        <v>1.2</v>
      </c>
      <c r="G443" s="212">
        <v>2</v>
      </c>
      <c r="H443" s="186">
        <f t="shared" si="29"/>
        <v>0.1008</v>
      </c>
      <c r="I443" s="243"/>
    </row>
    <row r="444" s="127" customFormat="1" spans="1:9">
      <c r="A444" s="181"/>
      <c r="B444" s="182"/>
      <c r="C444" s="183"/>
      <c r="D444" s="184"/>
      <c r="E444" s="185"/>
      <c r="F444" s="185"/>
      <c r="G444" s="212"/>
      <c r="H444" s="186"/>
      <c r="I444" s="243"/>
    </row>
    <row r="445" ht="51" spans="1:9">
      <c r="A445" s="175" t="s">
        <v>232</v>
      </c>
      <c r="B445" s="176" t="str">
        <f>VLOOKUP(A445,Planilha!$A$11:$I$39026,4,FALSE)</f>
        <v>Fôrma de tábua de madeira de 2.5 x 30.0 cm para fundações, levando-se em conta a utilização 5 vezes (incluido o material, corte, montagem, escoramento e desforma)</v>
      </c>
      <c r="C445" s="177" t="str">
        <f>VLOOKUP($A445,Planilha!$A$11:$I$39026,5,FALSE)</f>
        <v>m²</v>
      </c>
      <c r="D445" s="178" t="s">
        <v>405</v>
      </c>
      <c r="E445" s="179" t="s">
        <v>406</v>
      </c>
      <c r="F445" s="179" t="s">
        <v>557</v>
      </c>
      <c r="G445" s="179" t="s">
        <v>408</v>
      </c>
      <c r="H445" s="180" t="s">
        <v>409</v>
      </c>
      <c r="I445" s="219">
        <f>SUM(H446)</f>
        <v>1.8</v>
      </c>
    </row>
    <row r="446" s="127" customFormat="1" spans="1:9">
      <c r="A446" s="181"/>
      <c r="B446" s="182" t="s">
        <v>410</v>
      </c>
      <c r="C446" s="183" t="s">
        <v>559</v>
      </c>
      <c r="D446" s="184">
        <v>0.6</v>
      </c>
      <c r="E446" s="185">
        <v>0.9</v>
      </c>
      <c r="F446" s="185">
        <v>0.3</v>
      </c>
      <c r="G446" s="212">
        <v>2</v>
      </c>
      <c r="H446" s="186">
        <f>(2*D446*F446+2*E446*F446)*G446</f>
        <v>1.8</v>
      </c>
      <c r="I446" s="220"/>
    </row>
    <row r="447" s="126" customFormat="1" spans="1:9">
      <c r="A447" s="181"/>
      <c r="B447" s="182"/>
      <c r="C447" s="183"/>
      <c r="D447" s="184"/>
      <c r="E447" s="185"/>
      <c r="F447" s="185"/>
      <c r="G447" s="183"/>
      <c r="H447" s="186"/>
      <c r="I447" s="243"/>
    </row>
    <row r="448" s="126" customFormat="1" ht="51" spans="1:9">
      <c r="A448" s="175" t="s">
        <v>235</v>
      </c>
      <c r="B448" s="176" t="str">
        <f>VLOOKUP(A448,Planilha!$A$11:$I$39026,4,FALSE)</f>
        <v>Fornecimento, preparo e aplicação de concreto magro com consumo mínimo de cimento de 250 kg/m3 (brita 1 e 2) - (5% de perdas já incluído no custo)</v>
      </c>
      <c r="C448" s="177" t="str">
        <f>VLOOKUP($A448,Planilha!$A$11:$I$39026,5,FALSE)</f>
        <v>m³</v>
      </c>
      <c r="D448" s="178" t="s">
        <v>405</v>
      </c>
      <c r="E448" s="179" t="s">
        <v>406</v>
      </c>
      <c r="F448" s="179" t="s">
        <v>557</v>
      </c>
      <c r="G448" s="179" t="s">
        <v>408</v>
      </c>
      <c r="H448" s="180" t="s">
        <v>409</v>
      </c>
      <c r="I448" s="219">
        <f>SUM(H449)</f>
        <v>0.2</v>
      </c>
    </row>
    <row r="449" s="126" customFormat="1" spans="1:9">
      <c r="A449" s="181"/>
      <c r="B449" s="182" t="s">
        <v>410</v>
      </c>
      <c r="C449" s="183" t="s">
        <v>562</v>
      </c>
      <c r="D449" s="184">
        <v>1</v>
      </c>
      <c r="E449" s="185">
        <v>1</v>
      </c>
      <c r="F449" s="185">
        <v>0.1</v>
      </c>
      <c r="G449" s="183">
        <v>2</v>
      </c>
      <c r="H449" s="186">
        <f>G449*F449*E449*D449</f>
        <v>0.2</v>
      </c>
      <c r="I449" s="220"/>
    </row>
    <row r="450" s="126" customFormat="1" spans="1:9">
      <c r="A450" s="181"/>
      <c r="B450" s="182"/>
      <c r="C450" s="183"/>
      <c r="D450" s="184"/>
      <c r="E450" s="185"/>
      <c r="F450" s="185"/>
      <c r="G450" s="183"/>
      <c r="H450" s="186"/>
      <c r="I450" s="243"/>
    </row>
    <row r="451" s="126" customFormat="1" ht="38.25" spans="1:9">
      <c r="A451" s="175" t="s">
        <v>238</v>
      </c>
      <c r="B451" s="176" t="str">
        <f>VLOOKUP(A451,Planilha!$A$11:$I$39026,4,FALSE)</f>
        <v>Fornecimento, preparo e aplicação de concreto Fck=25 MPa (brita 1 e 2) - (5% de perdas já incluído no custo)</v>
      </c>
      <c r="C451" s="177" t="str">
        <f>VLOOKUP($A451,Planilha!$A$11:$I$39026,5,FALSE)</f>
        <v>m³</v>
      </c>
      <c r="D451" s="178" t="s">
        <v>405</v>
      </c>
      <c r="E451" s="179" t="s">
        <v>406</v>
      </c>
      <c r="F451" s="179" t="s">
        <v>557</v>
      </c>
      <c r="G451" s="179" t="s">
        <v>408</v>
      </c>
      <c r="H451" s="180" t="s">
        <v>409</v>
      </c>
      <c r="I451" s="219">
        <f>SUM(H452:H453)</f>
        <v>0.4248</v>
      </c>
    </row>
    <row r="452" s="126" customFormat="1" spans="1:9">
      <c r="A452" s="181"/>
      <c r="B452" s="182" t="s">
        <v>410</v>
      </c>
      <c r="C452" s="183" t="s">
        <v>560</v>
      </c>
      <c r="D452" s="184">
        <v>0.6</v>
      </c>
      <c r="E452" s="185">
        <v>0.9</v>
      </c>
      <c r="F452" s="185">
        <v>0.3</v>
      </c>
      <c r="G452" s="183">
        <v>2</v>
      </c>
      <c r="H452" s="186">
        <f>D452*G452*F452*E452</f>
        <v>0.324</v>
      </c>
      <c r="I452" s="220"/>
    </row>
    <row r="453" s="126" customFormat="1" spans="1:9">
      <c r="A453" s="181"/>
      <c r="B453" s="182"/>
      <c r="C453" s="183" t="s">
        <v>561</v>
      </c>
      <c r="D453" s="184">
        <v>0.14</v>
      </c>
      <c r="E453" s="185">
        <v>0.3</v>
      </c>
      <c r="F453" s="185">
        <v>1.2</v>
      </c>
      <c r="G453" s="183">
        <v>2</v>
      </c>
      <c r="H453" s="186">
        <f>D453*G453*F453*E453</f>
        <v>0.1008</v>
      </c>
      <c r="I453" s="220"/>
    </row>
    <row r="454" s="126" customFormat="1" spans="1:9">
      <c r="A454" s="192"/>
      <c r="B454" s="193"/>
      <c r="C454" s="183"/>
      <c r="D454" s="194"/>
      <c r="E454" s="195"/>
      <c r="F454" s="195"/>
      <c r="G454" s="183"/>
      <c r="H454" s="203"/>
      <c r="I454" s="221"/>
    </row>
    <row r="455" s="125" customFormat="1" ht="38.25" spans="1:57">
      <c r="A455" s="175" t="s">
        <v>241</v>
      </c>
      <c r="B455" s="176" t="str">
        <f>VLOOKUP(A455,Planilha!$A$11:$I$39026,4,FALSE)</f>
        <v>Fornecimento, dobragem e colocação em fôrma, de armadura CA-50 A média, diâmetro de 6.3 a 10.0 mm</v>
      </c>
      <c r="C455" s="177" t="str">
        <f>VLOOKUP($A455,Planilha!$A$11:$I$39026,5,FALSE)</f>
        <v>Kg</v>
      </c>
      <c r="D455" s="178" t="s">
        <v>563</v>
      </c>
      <c r="E455" s="179"/>
      <c r="F455" s="179" t="s">
        <v>564</v>
      </c>
      <c r="G455" s="179" t="s">
        <v>408</v>
      </c>
      <c r="H455" s="180" t="s">
        <v>409</v>
      </c>
      <c r="I455" s="219">
        <f>SUM(H456:H457)</f>
        <v>26.1608</v>
      </c>
      <c r="J455" s="126"/>
      <c r="K455" s="126"/>
      <c r="L455" s="126"/>
      <c r="M455" s="126"/>
      <c r="N455" s="126"/>
      <c r="O455" s="126"/>
      <c r="P455" s="126"/>
      <c r="Q455" s="126"/>
      <c r="R455" s="126"/>
      <c r="S455" s="126"/>
      <c r="T455" s="126"/>
      <c r="U455" s="126"/>
      <c r="V455" s="126"/>
      <c r="W455" s="126"/>
      <c r="X455" s="126"/>
      <c r="Y455" s="126"/>
      <c r="Z455" s="126"/>
      <c r="AA455" s="126"/>
      <c r="AB455" s="126"/>
      <c r="AC455" s="126"/>
      <c r="AD455" s="126"/>
      <c r="AE455" s="126"/>
      <c r="AF455" s="126"/>
      <c r="AG455" s="126"/>
      <c r="AH455" s="126"/>
      <c r="AI455" s="126"/>
      <c r="AJ455" s="126"/>
      <c r="AK455" s="126"/>
      <c r="AL455" s="126"/>
      <c r="AM455" s="126"/>
      <c r="AN455" s="126"/>
      <c r="AO455" s="126"/>
      <c r="AP455" s="126"/>
      <c r="AQ455" s="126"/>
      <c r="AR455" s="126"/>
      <c r="AS455" s="126"/>
      <c r="AT455" s="126"/>
      <c r="AU455" s="126"/>
      <c r="AV455" s="126"/>
      <c r="AW455" s="126"/>
      <c r="AX455" s="126"/>
      <c r="AY455" s="126"/>
      <c r="AZ455" s="126"/>
      <c r="BA455" s="126"/>
      <c r="BB455" s="126"/>
      <c r="BC455" s="126"/>
      <c r="BD455" s="126"/>
      <c r="BE455" s="126"/>
    </row>
    <row r="456" s="126" customFormat="1" spans="1:9">
      <c r="A456" s="181"/>
      <c r="B456" s="182" t="s">
        <v>410</v>
      </c>
      <c r="C456" s="183" t="s">
        <v>565</v>
      </c>
      <c r="D456" s="274">
        <v>0.617</v>
      </c>
      <c r="E456" s="185"/>
      <c r="F456" s="183">
        <f>(5*1)+(6*1.32)</f>
        <v>12.92</v>
      </c>
      <c r="G456" s="183">
        <v>2</v>
      </c>
      <c r="H456" s="186">
        <f t="shared" ref="H456:H461" si="30">G456*F456*D456</f>
        <v>15.94328</v>
      </c>
      <c r="I456" s="220"/>
    </row>
    <row r="457" s="126" customFormat="1" spans="1:9">
      <c r="A457" s="181"/>
      <c r="B457" s="182"/>
      <c r="C457" s="183" t="s">
        <v>566</v>
      </c>
      <c r="D457" s="274">
        <v>0.617</v>
      </c>
      <c r="E457" s="185"/>
      <c r="F457" s="185">
        <f>4*2.07</f>
        <v>8.28</v>
      </c>
      <c r="G457" s="183">
        <v>2</v>
      </c>
      <c r="H457" s="186">
        <f t="shared" si="30"/>
        <v>10.21752</v>
      </c>
      <c r="I457" s="220"/>
    </row>
    <row r="458" s="126" customFormat="1" spans="1:9">
      <c r="A458" s="181"/>
      <c r="B458" s="182"/>
      <c r="C458" s="183"/>
      <c r="D458" s="274"/>
      <c r="E458" s="185"/>
      <c r="F458" s="185"/>
      <c r="G458" s="183"/>
      <c r="H458" s="186"/>
      <c r="I458" s="220"/>
    </row>
    <row r="459" s="125" customFormat="1" ht="38.25" spans="1:57">
      <c r="A459" s="175" t="s">
        <v>245</v>
      </c>
      <c r="B459" s="176" t="str">
        <f>VLOOKUP(A459,Planilha!$A$11:$I$39026,4,FALSE)</f>
        <v>Fornecimento, dobragem e colocação em fôrma, de armadura CA-60 B fina, diâmetro de 4.0 a 7.0mm</v>
      </c>
      <c r="C459" s="177" t="str">
        <f>VLOOKUP($A459,Planilha!$A$11:$I$39026,5,FALSE)</f>
        <v>Kg</v>
      </c>
      <c r="D459" s="178" t="s">
        <v>563</v>
      </c>
      <c r="E459" s="179"/>
      <c r="F459" s="179" t="s">
        <v>564</v>
      </c>
      <c r="G459" s="179" t="s">
        <v>408</v>
      </c>
      <c r="H459" s="180" t="s">
        <v>409</v>
      </c>
      <c r="I459" s="219">
        <f>SUM(H460)</f>
        <v>3.12312</v>
      </c>
      <c r="J459" s="126"/>
      <c r="K459" s="126"/>
      <c r="L459" s="126"/>
      <c r="M459" s="126"/>
      <c r="N459" s="126"/>
      <c r="O459" s="126"/>
      <c r="P459" s="126"/>
      <c r="Q459" s="126"/>
      <c r="R459" s="126"/>
      <c r="S459" s="126"/>
      <c r="T459" s="126"/>
      <c r="U459" s="126"/>
      <c r="V459" s="126"/>
      <c r="W459" s="126"/>
      <c r="X459" s="126"/>
      <c r="Y459" s="126"/>
      <c r="Z459" s="126"/>
      <c r="AA459" s="126"/>
      <c r="AB459" s="126"/>
      <c r="AC459" s="126"/>
      <c r="AD459" s="126"/>
      <c r="AE459" s="126"/>
      <c r="AF459" s="126"/>
      <c r="AG459" s="126"/>
      <c r="AH459" s="126"/>
      <c r="AI459" s="126"/>
      <c r="AJ459" s="126"/>
      <c r="AK459" s="126"/>
      <c r="AL459" s="126"/>
      <c r="AM459" s="126"/>
      <c r="AN459" s="126"/>
      <c r="AO459" s="126"/>
      <c r="AP459" s="126"/>
      <c r="AQ459" s="126"/>
      <c r="AR459" s="126"/>
      <c r="AS459" s="126"/>
      <c r="AT459" s="126"/>
      <c r="AU459" s="126"/>
      <c r="AV459" s="126"/>
      <c r="AW459" s="126"/>
      <c r="AX459" s="126"/>
      <c r="AY459" s="126"/>
      <c r="AZ459" s="126"/>
      <c r="BA459" s="126"/>
      <c r="BB459" s="126"/>
      <c r="BC459" s="126"/>
      <c r="BD459" s="126"/>
      <c r="BE459" s="126"/>
    </row>
    <row r="460" s="126" customFormat="1" spans="1:9">
      <c r="A460" s="181"/>
      <c r="B460" s="182" t="s">
        <v>410</v>
      </c>
      <c r="C460" s="183" t="s">
        <v>567</v>
      </c>
      <c r="D460" s="274">
        <v>0.154</v>
      </c>
      <c r="E460" s="185"/>
      <c r="F460" s="183">
        <f>13*0.78</f>
        <v>10.14</v>
      </c>
      <c r="G460" s="183">
        <v>2</v>
      </c>
      <c r="H460" s="186">
        <f t="shared" si="30"/>
        <v>3.12312</v>
      </c>
      <c r="I460" s="220"/>
    </row>
    <row r="461" s="126" customFormat="1" spans="1:9">
      <c r="A461" s="181"/>
      <c r="B461" s="182"/>
      <c r="C461" s="183"/>
      <c r="D461" s="274"/>
      <c r="E461" s="185"/>
      <c r="F461" s="185"/>
      <c r="G461" s="183"/>
      <c r="H461" s="186"/>
      <c r="I461" s="220"/>
    </row>
    <row r="462" s="125" customFormat="1" ht="38.25" spans="1:57">
      <c r="A462" s="175" t="s">
        <v>250</v>
      </c>
      <c r="B462" s="176" t="str">
        <f>VLOOKUP(A462,Planilha!$A$11:$I$39026,4,FALSE)</f>
        <v>Fornecimento, preparo e aplicação de concreto Fck=25 MPa (brita 1 e 2) - (5% de perdas já incluído no custo)</v>
      </c>
      <c r="C462" s="177" t="str">
        <f>VLOOKUP($A462,Planilha!$A$11:$I$39026,5,FALSE)</f>
        <v>m³</v>
      </c>
      <c r="D462" s="178" t="s">
        <v>405</v>
      </c>
      <c r="E462" s="179" t="s">
        <v>406</v>
      </c>
      <c r="F462" s="179" t="s">
        <v>407</v>
      </c>
      <c r="G462" s="179" t="s">
        <v>408</v>
      </c>
      <c r="H462" s="180" t="s">
        <v>409</v>
      </c>
      <c r="I462" s="219">
        <f>SUM(H463:H464)</f>
        <v>0.5568</v>
      </c>
      <c r="J462" s="126"/>
      <c r="K462" s="126"/>
      <c r="L462" s="126"/>
      <c r="M462" s="126"/>
      <c r="N462" s="126"/>
      <c r="O462" s="126"/>
      <c r="P462" s="126"/>
      <c r="Q462" s="126"/>
      <c r="R462" s="126"/>
      <c r="S462" s="126"/>
      <c r="T462" s="126"/>
      <c r="U462" s="126"/>
      <c r="V462" s="126"/>
      <c r="W462" s="126"/>
      <c r="X462" s="126"/>
      <c r="Y462" s="126"/>
      <c r="Z462" s="126"/>
      <c r="AA462" s="126"/>
      <c r="AB462" s="126"/>
      <c r="AC462" s="126"/>
      <c r="AD462" s="126"/>
      <c r="AE462" s="126"/>
      <c r="AF462" s="126"/>
      <c r="AG462" s="126"/>
      <c r="AH462" s="126"/>
      <c r="AI462" s="126"/>
      <c r="AJ462" s="126"/>
      <c r="AK462" s="126"/>
      <c r="AL462" s="126"/>
      <c r="AM462" s="126"/>
      <c r="AN462" s="126"/>
      <c r="AO462" s="126"/>
      <c r="AP462" s="126"/>
      <c r="AQ462" s="126"/>
      <c r="AR462" s="126"/>
      <c r="AS462" s="126"/>
      <c r="AT462" s="126"/>
      <c r="AU462" s="126"/>
      <c r="AV462" s="126"/>
      <c r="AW462" s="126"/>
      <c r="AX462" s="126"/>
      <c r="AY462" s="126"/>
      <c r="AZ462" s="126"/>
      <c r="BA462" s="126"/>
      <c r="BB462" s="126"/>
      <c r="BC462" s="126"/>
      <c r="BD462" s="126"/>
      <c r="BE462" s="126"/>
    </row>
    <row r="463" s="125" customFormat="1" spans="1:57">
      <c r="A463" s="181"/>
      <c r="B463" s="182" t="s">
        <v>410</v>
      </c>
      <c r="C463" s="183" t="s">
        <v>568</v>
      </c>
      <c r="D463" s="184">
        <v>0.14</v>
      </c>
      <c r="E463" s="185">
        <v>0.3</v>
      </c>
      <c r="F463" s="185">
        <v>3.2</v>
      </c>
      <c r="G463" s="183">
        <v>2</v>
      </c>
      <c r="H463" s="186">
        <f>F463*E463*D463*G463</f>
        <v>0.2688</v>
      </c>
      <c r="I463" s="219"/>
      <c r="J463" s="126"/>
      <c r="K463" s="126"/>
      <c r="L463" s="126"/>
      <c r="M463" s="126"/>
      <c r="N463" s="126"/>
      <c r="O463" s="126"/>
      <c r="P463" s="126"/>
      <c r="Q463" s="126"/>
      <c r="R463" s="126"/>
      <c r="S463" s="126"/>
      <c r="T463" s="126"/>
      <c r="U463" s="126"/>
      <c r="V463" s="126"/>
      <c r="W463" s="126"/>
      <c r="X463" s="126"/>
      <c r="Y463" s="126"/>
      <c r="Z463" s="126"/>
      <c r="AA463" s="126"/>
      <c r="AB463" s="126"/>
      <c r="AC463" s="126"/>
      <c r="AD463" s="126"/>
      <c r="AE463" s="126"/>
      <c r="AF463" s="126"/>
      <c r="AG463" s="126"/>
      <c r="AH463" s="126"/>
      <c r="AI463" s="126"/>
      <c r="AJ463" s="126"/>
      <c r="AK463" s="126"/>
      <c r="AL463" s="126"/>
      <c r="AM463" s="126"/>
      <c r="AN463" s="126"/>
      <c r="AO463" s="126"/>
      <c r="AP463" s="126"/>
      <c r="AQ463" s="126"/>
      <c r="AR463" s="126"/>
      <c r="AS463" s="126"/>
      <c r="AT463" s="126"/>
      <c r="AU463" s="126"/>
      <c r="AV463" s="126"/>
      <c r="AW463" s="126"/>
      <c r="AX463" s="126"/>
      <c r="AY463" s="126"/>
      <c r="AZ463" s="126"/>
      <c r="BA463" s="126"/>
      <c r="BB463" s="126"/>
      <c r="BC463" s="126"/>
      <c r="BD463" s="126"/>
      <c r="BE463" s="126"/>
    </row>
    <row r="464" s="126" customFormat="1" spans="1:9">
      <c r="A464" s="181"/>
      <c r="B464" s="182"/>
      <c r="C464" s="183" t="s">
        <v>569</v>
      </c>
      <c r="D464" s="184">
        <v>0.12</v>
      </c>
      <c r="E464" s="185">
        <v>0.3</v>
      </c>
      <c r="F464" s="185">
        <v>8</v>
      </c>
      <c r="G464" s="183">
        <v>1</v>
      </c>
      <c r="H464" s="186">
        <f>D464*G464*F464*E464</f>
        <v>0.288</v>
      </c>
      <c r="I464" s="220"/>
    </row>
    <row r="465" s="126" customFormat="1" spans="1:9">
      <c r="A465" s="181"/>
      <c r="B465" s="182"/>
      <c r="C465" s="183"/>
      <c r="D465" s="184"/>
      <c r="E465" s="185"/>
      <c r="F465" s="185"/>
      <c r="G465" s="183"/>
      <c r="H465" s="186"/>
      <c r="I465" s="243"/>
    </row>
    <row r="466" s="125" customFormat="1" ht="38.25" spans="1:57">
      <c r="A466" s="175" t="s">
        <v>252</v>
      </c>
      <c r="B466" s="176" t="str">
        <f>VLOOKUP(A466,Planilha!$A$11:$I$39026,4,FALSE)</f>
        <v>Fornecimento, dobragem e colocação em fôrma, de armadura CA-50 A média, diâmetro de 6.3 a 10.0 mm</v>
      </c>
      <c r="C466" s="177" t="str">
        <f>VLOOKUP($A466,Planilha!$A$11:$I$39026,5,FALSE)</f>
        <v>Kg</v>
      </c>
      <c r="D466" s="178" t="s">
        <v>563</v>
      </c>
      <c r="E466" s="179"/>
      <c r="F466" s="179" t="s">
        <v>570</v>
      </c>
      <c r="G466" s="179" t="s">
        <v>408</v>
      </c>
      <c r="H466" s="180" t="s">
        <v>409</v>
      </c>
      <c r="I466" s="219">
        <f>SUM(H467:H468)</f>
        <v>28.5962</v>
      </c>
      <c r="J466" s="126"/>
      <c r="K466" s="126"/>
      <c r="L466" s="126"/>
      <c r="M466" s="126"/>
      <c r="N466" s="126"/>
      <c r="O466" s="126"/>
      <c r="P466" s="126"/>
      <c r="Q466" s="126"/>
      <c r="R466" s="126"/>
      <c r="S466" s="126"/>
      <c r="T466" s="126"/>
      <c r="U466" s="126"/>
      <c r="V466" s="126"/>
      <c r="W466" s="126"/>
      <c r="X466" s="126"/>
      <c r="Y466" s="126"/>
      <c r="Z466" s="126"/>
      <c r="AA466" s="126"/>
      <c r="AB466" s="126"/>
      <c r="AC466" s="126"/>
      <c r="AD466" s="126"/>
      <c r="AE466" s="126"/>
      <c r="AF466" s="126"/>
      <c r="AG466" s="126"/>
      <c r="AH466" s="126"/>
      <c r="AI466" s="126"/>
      <c r="AJ466" s="126"/>
      <c r="AK466" s="126"/>
      <c r="AL466" s="126"/>
      <c r="AM466" s="126"/>
      <c r="AN466" s="126"/>
      <c r="AO466" s="126"/>
      <c r="AP466" s="126"/>
      <c r="AQ466" s="126"/>
      <c r="AR466" s="126"/>
      <c r="AS466" s="126"/>
      <c r="AT466" s="126"/>
      <c r="AU466" s="126"/>
      <c r="AV466" s="126"/>
      <c r="AW466" s="126"/>
      <c r="AX466" s="126"/>
      <c r="AY466" s="126"/>
      <c r="AZ466" s="126"/>
      <c r="BA466" s="126"/>
      <c r="BB466" s="126"/>
      <c r="BC466" s="126"/>
      <c r="BD466" s="126"/>
      <c r="BE466" s="126"/>
    </row>
    <row r="467" s="126" customFormat="1" spans="1:9">
      <c r="A467" s="181"/>
      <c r="B467" s="182" t="s">
        <v>410</v>
      </c>
      <c r="C467" s="183" t="s">
        <v>571</v>
      </c>
      <c r="D467" s="274">
        <v>0.617</v>
      </c>
      <c r="E467" s="185"/>
      <c r="F467" s="185">
        <f>4*3.175</f>
        <v>12.7</v>
      </c>
      <c r="G467" s="183">
        <v>2</v>
      </c>
      <c r="H467" s="186">
        <f>G467*F467*D467</f>
        <v>15.6718</v>
      </c>
      <c r="I467" s="220"/>
    </row>
    <row r="468" s="126" customFormat="1" spans="1:9">
      <c r="A468" s="181"/>
      <c r="B468" s="182"/>
      <c r="C468" s="183" t="s">
        <v>572</v>
      </c>
      <c r="D468" s="274">
        <v>0.395</v>
      </c>
      <c r="E468" s="185"/>
      <c r="F468" s="185">
        <v>32.72</v>
      </c>
      <c r="G468" s="183">
        <v>1</v>
      </c>
      <c r="H468" s="186">
        <f>G468*F468*D468</f>
        <v>12.9244</v>
      </c>
      <c r="I468" s="220"/>
    </row>
    <row r="469" s="126" customFormat="1" spans="1:9">
      <c r="A469" s="181"/>
      <c r="B469" s="182"/>
      <c r="C469" s="183"/>
      <c r="D469" s="274"/>
      <c r="E469" s="185"/>
      <c r="F469" s="185"/>
      <c r="G469" s="183"/>
      <c r="H469" s="186"/>
      <c r="I469" s="220"/>
    </row>
    <row r="470" s="125" customFormat="1" ht="63.75" spans="1:57">
      <c r="A470" s="175" t="s">
        <v>254</v>
      </c>
      <c r="B470" s="176" t="str">
        <f>VLOOKUP(A470,Planilha!$A$11:$I$39026,4,FALSE)</f>
        <v>Forma de chapas madeira compensada resinada, esp. 12mm, levando-se em conta a utilização 3 vezes, reforçadas com sarrafos de madeira de 2.5 x 10.0cm (incl material, corte, montagem, escoras em eucalipto e desforma)</v>
      </c>
      <c r="C470" s="177" t="s">
        <v>28</v>
      </c>
      <c r="D470" s="178" t="s">
        <v>405</v>
      </c>
      <c r="E470" s="179" t="s">
        <v>406</v>
      </c>
      <c r="F470" s="179" t="s">
        <v>407</v>
      </c>
      <c r="G470" s="179" t="s">
        <v>408</v>
      </c>
      <c r="H470" s="180" t="s">
        <v>409</v>
      </c>
      <c r="I470" s="219">
        <f>SUM(H471:H472)</f>
        <v>8.104</v>
      </c>
      <c r="J470" s="126"/>
      <c r="K470" s="126"/>
      <c r="L470" s="126"/>
      <c r="M470" s="126"/>
      <c r="N470" s="126"/>
      <c r="O470" s="126"/>
      <c r="P470" s="126"/>
      <c r="Q470" s="126"/>
      <c r="R470" s="126"/>
      <c r="S470" s="126"/>
      <c r="T470" s="126"/>
      <c r="U470" s="126"/>
      <c r="V470" s="126"/>
      <c r="W470" s="126"/>
      <c r="X470" s="126"/>
      <c r="Y470" s="126"/>
      <c r="Z470" s="126"/>
      <c r="AA470" s="126"/>
      <c r="AB470" s="126"/>
      <c r="AC470" s="126"/>
      <c r="AD470" s="126"/>
      <c r="AE470" s="126"/>
      <c r="AF470" s="126"/>
      <c r="AG470" s="126"/>
      <c r="AH470" s="126"/>
      <c r="AI470" s="126"/>
      <c r="AJ470" s="126"/>
      <c r="AK470" s="126"/>
      <c r="AL470" s="126"/>
      <c r="AM470" s="126"/>
      <c r="AN470" s="126"/>
      <c r="AO470" s="126"/>
      <c r="AP470" s="126"/>
      <c r="AQ470" s="126"/>
      <c r="AR470" s="126"/>
      <c r="AS470" s="126"/>
      <c r="AT470" s="126"/>
      <c r="AU470" s="126"/>
      <c r="AV470" s="126"/>
      <c r="AW470" s="126"/>
      <c r="AX470" s="126"/>
      <c r="AY470" s="126"/>
      <c r="AZ470" s="126"/>
      <c r="BA470" s="126"/>
      <c r="BB470" s="126"/>
      <c r="BC470" s="126"/>
      <c r="BD470" s="126"/>
      <c r="BE470" s="126"/>
    </row>
    <row r="471" s="126" customFormat="1" spans="1:9">
      <c r="A471" s="181"/>
      <c r="B471" s="182" t="s">
        <v>410</v>
      </c>
      <c r="C471" s="183" t="s">
        <v>568</v>
      </c>
      <c r="D471" s="184">
        <v>0.14</v>
      </c>
      <c r="E471" s="185">
        <v>0.3</v>
      </c>
      <c r="F471" s="185">
        <v>3.2</v>
      </c>
      <c r="G471" s="183">
        <v>2</v>
      </c>
      <c r="H471" s="186">
        <f>G471*(D471*F471*2+E471*F471*2)</f>
        <v>5.632</v>
      </c>
      <c r="I471" s="220"/>
    </row>
    <row r="472" s="126" customFormat="1" spans="1:9">
      <c r="A472" s="181"/>
      <c r="B472" s="182"/>
      <c r="C472" s="183" t="s">
        <v>573</v>
      </c>
      <c r="D472" s="184">
        <v>8</v>
      </c>
      <c r="E472" s="185">
        <v>0.12</v>
      </c>
      <c r="F472" s="185">
        <v>0.3</v>
      </c>
      <c r="G472" s="183">
        <v>1</v>
      </c>
      <c r="H472" s="186">
        <f>G472*(D472*F472+E472*F472*2)</f>
        <v>2.472</v>
      </c>
      <c r="I472" s="220"/>
    </row>
    <row r="473" s="126" customFormat="1" spans="1:9">
      <c r="A473" s="181"/>
      <c r="B473" s="182"/>
      <c r="C473" s="183"/>
      <c r="D473" s="184"/>
      <c r="E473" s="185"/>
      <c r="F473" s="185"/>
      <c r="G473" s="183"/>
      <c r="H473" s="186"/>
      <c r="I473" s="220"/>
    </row>
    <row r="474" s="125" customFormat="1" ht="38.25" spans="1:57">
      <c r="A474" s="175" t="s">
        <v>257</v>
      </c>
      <c r="B474" s="176" t="str">
        <f>VLOOKUP(A474,Planilha!$A$11:$I$39026,4,FALSE)</f>
        <v>Fornecimento, dobragem e colocação em fôrma, de armadura CA-60 B fina, diâmetro de 4.0 a 7.0mm</v>
      </c>
      <c r="C474" s="177" t="str">
        <f>VLOOKUP($A474,Planilha!$A$11:$I$39026,5,FALSE)</f>
        <v>Kg</v>
      </c>
      <c r="D474" s="178" t="s">
        <v>563</v>
      </c>
      <c r="E474" s="179"/>
      <c r="F474" s="179" t="s">
        <v>570</v>
      </c>
      <c r="G474" s="179" t="s">
        <v>408</v>
      </c>
      <c r="H474" s="180" t="s">
        <v>409</v>
      </c>
      <c r="I474" s="219">
        <f>SUM(H475:H476)</f>
        <v>12.37544</v>
      </c>
      <c r="J474" s="126"/>
      <c r="K474" s="126"/>
      <c r="L474" s="126"/>
      <c r="M474" s="126"/>
      <c r="N474" s="126"/>
      <c r="O474" s="126"/>
      <c r="P474" s="126"/>
      <c r="Q474" s="126"/>
      <c r="R474" s="126"/>
      <c r="S474" s="126"/>
      <c r="T474" s="126"/>
      <c r="U474" s="126"/>
      <c r="V474" s="126"/>
      <c r="W474" s="126"/>
      <c r="X474" s="126"/>
      <c r="Y474" s="126"/>
      <c r="Z474" s="126"/>
      <c r="AA474" s="126"/>
      <c r="AB474" s="126"/>
      <c r="AC474" s="126"/>
      <c r="AD474" s="126"/>
      <c r="AE474" s="126"/>
      <c r="AF474" s="126"/>
      <c r="AG474" s="126"/>
      <c r="AH474" s="126"/>
      <c r="AI474" s="126"/>
      <c r="AJ474" s="126"/>
      <c r="AK474" s="126"/>
      <c r="AL474" s="126"/>
      <c r="AM474" s="126"/>
      <c r="AN474" s="126"/>
      <c r="AO474" s="126"/>
      <c r="AP474" s="126"/>
      <c r="AQ474" s="126"/>
      <c r="AR474" s="126"/>
      <c r="AS474" s="126"/>
      <c r="AT474" s="126"/>
      <c r="AU474" s="126"/>
      <c r="AV474" s="126"/>
      <c r="AW474" s="126"/>
      <c r="AX474" s="126"/>
      <c r="AY474" s="126"/>
      <c r="AZ474" s="126"/>
      <c r="BA474" s="126"/>
      <c r="BB474" s="126"/>
      <c r="BC474" s="126"/>
      <c r="BD474" s="126"/>
      <c r="BE474" s="126"/>
    </row>
    <row r="475" s="126" customFormat="1" spans="1:9">
      <c r="A475" s="181"/>
      <c r="B475" s="182"/>
      <c r="C475" s="183" t="s">
        <v>574</v>
      </c>
      <c r="D475" s="274">
        <v>0.154</v>
      </c>
      <c r="E475" s="185"/>
      <c r="F475" s="185">
        <f>25*0.82</f>
        <v>20.5</v>
      </c>
      <c r="G475" s="183">
        <v>2</v>
      </c>
      <c r="H475" s="186">
        <f>G475*F475*D475</f>
        <v>6.314</v>
      </c>
      <c r="I475" s="220"/>
    </row>
    <row r="476" s="126" customFormat="1" spans="1:9">
      <c r="A476" s="181"/>
      <c r="B476" s="182"/>
      <c r="C476" s="183" t="s">
        <v>575</v>
      </c>
      <c r="D476" s="274">
        <v>0.154</v>
      </c>
      <c r="E476" s="185"/>
      <c r="F476" s="185">
        <f>48*0.82</f>
        <v>39.36</v>
      </c>
      <c r="G476" s="183">
        <v>1</v>
      </c>
      <c r="H476" s="186">
        <f>G476*F476*D476</f>
        <v>6.06144</v>
      </c>
      <c r="I476" s="220"/>
    </row>
    <row r="477" s="126" customFormat="1" spans="1:9">
      <c r="A477" s="181"/>
      <c r="B477" s="182"/>
      <c r="C477" s="183"/>
      <c r="D477" s="184"/>
      <c r="E477" s="185"/>
      <c r="F477" s="185"/>
      <c r="G477" s="183"/>
      <c r="H477" s="186"/>
      <c r="I477" s="243"/>
    </row>
    <row r="478" s="125" customFormat="1" ht="63.75" spans="1:57">
      <c r="A478" s="175" t="s">
        <v>261</v>
      </c>
      <c r="B478" s="176" t="str">
        <f>VLOOKUP(A478,Planilha!$A$11:$I$39026,4,FALSE)</f>
        <v>Estrutura de madeira de lei tipo Paraju, peroba mica, angelim pedra ou equivalente para telhado de telhas cerâmicas tipo capa e canal c/ tesouras, pilares, vigas, terças, caibros e ripas, incl. trat. c/cupinicida, exclusive telhas</v>
      </c>
      <c r="C478" s="177" t="str">
        <f>VLOOKUP($A478,Planilha!$A$11:$I$39026,5,FALSE)</f>
        <v>m²</v>
      </c>
      <c r="D478" s="178" t="s">
        <v>405</v>
      </c>
      <c r="E478" s="179" t="s">
        <v>406</v>
      </c>
      <c r="F478" s="179" t="s">
        <v>407</v>
      </c>
      <c r="G478" s="179" t="s">
        <v>408</v>
      </c>
      <c r="H478" s="180" t="s">
        <v>409</v>
      </c>
      <c r="I478" s="219">
        <f>SUM(H479)</f>
        <v>58.05</v>
      </c>
      <c r="J478" s="126"/>
      <c r="K478" s="126"/>
      <c r="L478" s="126"/>
      <c r="M478" s="126"/>
      <c r="N478" s="126"/>
      <c r="O478" s="126"/>
      <c r="P478" s="126"/>
      <c r="Q478" s="126"/>
      <c r="R478" s="126"/>
      <c r="S478" s="126"/>
      <c r="T478" s="126"/>
      <c r="U478" s="126"/>
      <c r="V478" s="126"/>
      <c r="W478" s="126"/>
      <c r="X478" s="126"/>
      <c r="Y478" s="126"/>
      <c r="Z478" s="126"/>
      <c r="AA478" s="126"/>
      <c r="AB478" s="126"/>
      <c r="AC478" s="126"/>
      <c r="AD478" s="126"/>
      <c r="AE478" s="126"/>
      <c r="AF478" s="126"/>
      <c r="AG478" s="126"/>
      <c r="AH478" s="126"/>
      <c r="AI478" s="126"/>
      <c r="AJ478" s="126"/>
      <c r="AK478" s="126"/>
      <c r="AL478" s="126"/>
      <c r="AM478" s="126"/>
      <c r="AN478" s="126"/>
      <c r="AO478" s="126"/>
      <c r="AP478" s="126"/>
      <c r="AQ478" s="126"/>
      <c r="AR478" s="126"/>
      <c r="AS478" s="126"/>
      <c r="AT478" s="126"/>
      <c r="AU478" s="126"/>
      <c r="AV478" s="126"/>
      <c r="AW478" s="126"/>
      <c r="AX478" s="126"/>
      <c r="AY478" s="126"/>
      <c r="AZ478" s="126"/>
      <c r="BA478" s="126"/>
      <c r="BB478" s="126"/>
      <c r="BC478" s="126"/>
      <c r="BD478" s="126"/>
      <c r="BE478" s="126"/>
    </row>
    <row r="479" s="126" customFormat="1" spans="1:9">
      <c r="A479" s="181"/>
      <c r="B479" s="182" t="s">
        <v>410</v>
      </c>
      <c r="C479" s="183" t="s">
        <v>535</v>
      </c>
      <c r="D479" s="184">
        <v>6.75</v>
      </c>
      <c r="E479" s="185">
        <v>8.6</v>
      </c>
      <c r="F479" s="185"/>
      <c r="G479" s="183"/>
      <c r="H479" s="186">
        <f>E479*D479</f>
        <v>58.05</v>
      </c>
      <c r="I479" s="220"/>
    </row>
    <row r="480" s="126" customFormat="1" spans="1:9">
      <c r="A480" s="181"/>
      <c r="B480" s="182"/>
      <c r="C480" s="183"/>
      <c r="D480" s="184"/>
      <c r="E480" s="185"/>
      <c r="F480" s="185"/>
      <c r="G480" s="183"/>
      <c r="H480" s="186"/>
      <c r="I480" s="220"/>
    </row>
    <row r="481" s="125" customFormat="1" ht="38.25" spans="1:57">
      <c r="A481" s="175" t="s">
        <v>264</v>
      </c>
      <c r="B481" s="176" t="str">
        <f>VLOOKUP(A481,Planilha!$A$11:$I$39026,4,FALSE)</f>
        <v>Cobertura nova de telhas cerâmicas tipo capa e canal inclusive cumeeiras (telhas compradas na fábrica, posto obra)</v>
      </c>
      <c r="C481" s="177" t="str">
        <f>VLOOKUP($A481,Planilha!$A$11:$I$39026,5,FALSE)</f>
        <v>m²</v>
      </c>
      <c r="D481" s="178" t="s">
        <v>405</v>
      </c>
      <c r="E481" s="179" t="s">
        <v>406</v>
      </c>
      <c r="F481" s="179" t="s">
        <v>407</v>
      </c>
      <c r="G481" s="179" t="s">
        <v>408</v>
      </c>
      <c r="H481" s="180" t="s">
        <v>409</v>
      </c>
      <c r="I481" s="219">
        <f>SUM(H482)</f>
        <v>58.05</v>
      </c>
      <c r="J481" s="126"/>
      <c r="K481" s="126"/>
      <c r="L481" s="126"/>
      <c r="M481" s="126"/>
      <c r="N481" s="126"/>
      <c r="O481" s="126"/>
      <c r="P481" s="126"/>
      <c r="Q481" s="126"/>
      <c r="R481" s="126"/>
      <c r="S481" s="126"/>
      <c r="T481" s="126"/>
      <c r="U481" s="126"/>
      <c r="V481" s="126"/>
      <c r="W481" s="126"/>
      <c r="X481" s="126"/>
      <c r="Y481" s="126"/>
      <c r="Z481" s="126"/>
      <c r="AA481" s="126"/>
      <c r="AB481" s="126"/>
      <c r="AC481" s="126"/>
      <c r="AD481" s="126"/>
      <c r="AE481" s="126"/>
      <c r="AF481" s="126"/>
      <c r="AG481" s="126"/>
      <c r="AH481" s="126"/>
      <c r="AI481" s="126"/>
      <c r="AJ481" s="126"/>
      <c r="AK481" s="126"/>
      <c r="AL481" s="126"/>
      <c r="AM481" s="126"/>
      <c r="AN481" s="126"/>
      <c r="AO481" s="126"/>
      <c r="AP481" s="126"/>
      <c r="AQ481" s="126"/>
      <c r="AR481" s="126"/>
      <c r="AS481" s="126"/>
      <c r="AT481" s="126"/>
      <c r="AU481" s="126"/>
      <c r="AV481" s="126"/>
      <c r="AW481" s="126"/>
      <c r="AX481" s="126"/>
      <c r="AY481" s="126"/>
      <c r="AZ481" s="126"/>
      <c r="BA481" s="126"/>
      <c r="BB481" s="126"/>
      <c r="BC481" s="126"/>
      <c r="BD481" s="126"/>
      <c r="BE481" s="126"/>
    </row>
    <row r="482" s="126" customFormat="1" spans="1:9">
      <c r="A482" s="181"/>
      <c r="B482" s="182" t="s">
        <v>410</v>
      </c>
      <c r="C482" s="183" t="s">
        <v>535</v>
      </c>
      <c r="D482" s="184">
        <v>6.75</v>
      </c>
      <c r="E482" s="185">
        <v>8.6</v>
      </c>
      <c r="F482" s="185"/>
      <c r="G482" s="183"/>
      <c r="H482" s="186">
        <f>E482*D482</f>
        <v>58.05</v>
      </c>
      <c r="I482" s="220"/>
    </row>
    <row r="483" s="126" customFormat="1" spans="1:9">
      <c r="A483" s="181"/>
      <c r="B483" s="182"/>
      <c r="C483" s="183"/>
      <c r="D483" s="184"/>
      <c r="E483" s="185"/>
      <c r="F483" s="185"/>
      <c r="G483" s="183"/>
      <c r="H483" s="186"/>
      <c r="I483" s="220"/>
    </row>
    <row r="484" s="125" customFormat="1" ht="25.5" spans="1:57">
      <c r="A484" s="175" t="s">
        <v>267</v>
      </c>
      <c r="B484" s="176" t="str">
        <f>VLOOKUP(A484,Planilha!$A$11:$I$39026,4,FALSE)</f>
        <v>Rufo de chapa metálica nº 26 com largura de 30 cm</v>
      </c>
      <c r="C484" s="177" t="str">
        <f>VLOOKUP($A484,Planilha!$A$11:$I$39026,5,FALSE)</f>
        <v>m</v>
      </c>
      <c r="D484" s="178" t="s">
        <v>405</v>
      </c>
      <c r="E484" s="179" t="s">
        <v>406</v>
      </c>
      <c r="F484" s="179" t="s">
        <v>407</v>
      </c>
      <c r="G484" s="179" t="s">
        <v>408</v>
      </c>
      <c r="H484" s="180" t="s">
        <v>409</v>
      </c>
      <c r="I484" s="219">
        <f>SUM(H485:H487)</f>
        <v>28</v>
      </c>
      <c r="J484" s="126"/>
      <c r="K484" s="126"/>
      <c r="L484" s="126"/>
      <c r="M484" s="126"/>
      <c r="N484" s="126"/>
      <c r="O484" s="126"/>
      <c r="P484" s="126"/>
      <c r="Q484" s="126"/>
      <c r="R484" s="126"/>
      <c r="S484" s="126"/>
      <c r="T484" s="126"/>
      <c r="U484" s="126"/>
      <c r="V484" s="126"/>
      <c r="W484" s="126"/>
      <c r="X484" s="126"/>
      <c r="Y484" s="126"/>
      <c r="Z484" s="126"/>
      <c r="AA484" s="126"/>
      <c r="AB484" s="126"/>
      <c r="AC484" s="126"/>
      <c r="AD484" s="126"/>
      <c r="AE484" s="126"/>
      <c r="AF484" s="126"/>
      <c r="AG484" s="126"/>
      <c r="AH484" s="126"/>
      <c r="AI484" s="126"/>
      <c r="AJ484" s="126"/>
      <c r="AK484" s="126"/>
      <c r="AL484" s="126"/>
      <c r="AM484" s="126"/>
      <c r="AN484" s="126"/>
      <c r="AO484" s="126"/>
      <c r="AP484" s="126"/>
      <c r="AQ484" s="126"/>
      <c r="AR484" s="126"/>
      <c r="AS484" s="126"/>
      <c r="AT484" s="126"/>
      <c r="AU484" s="126"/>
      <c r="AV484" s="126"/>
      <c r="AW484" s="126"/>
      <c r="AX484" s="126"/>
      <c r="AY484" s="126"/>
      <c r="AZ484" s="126"/>
      <c r="BA484" s="126"/>
      <c r="BB484" s="126"/>
      <c r="BC484" s="126"/>
      <c r="BD484" s="126"/>
      <c r="BE484" s="126"/>
    </row>
    <row r="485" s="126" customFormat="1" spans="1:9">
      <c r="A485" s="181"/>
      <c r="B485" s="182" t="s">
        <v>410</v>
      </c>
      <c r="C485" s="183" t="s">
        <v>535</v>
      </c>
      <c r="D485" s="184">
        <f>8*2</f>
        <v>16</v>
      </c>
      <c r="E485" s="185"/>
      <c r="F485" s="185"/>
      <c r="G485" s="183"/>
      <c r="H485" s="186">
        <f>D485</f>
        <v>16</v>
      </c>
      <c r="I485" s="220"/>
    </row>
    <row r="486" s="126" customFormat="1" spans="1:9">
      <c r="A486" s="181"/>
      <c r="B486" s="182"/>
      <c r="C486" s="183" t="s">
        <v>576</v>
      </c>
      <c r="D486" s="184">
        <v>5</v>
      </c>
      <c r="E486" s="185"/>
      <c r="F486" s="185"/>
      <c r="G486" s="183"/>
      <c r="H486" s="186">
        <f>D486</f>
        <v>5</v>
      </c>
      <c r="I486" s="220"/>
    </row>
    <row r="487" spans="1:9">
      <c r="A487" s="187"/>
      <c r="B487" s="187"/>
      <c r="C487" s="188" t="s">
        <v>577</v>
      </c>
      <c r="D487" s="189">
        <v>7</v>
      </c>
      <c r="E487" s="187"/>
      <c r="F487" s="187"/>
      <c r="G487" s="190"/>
      <c r="H487" s="186">
        <f>D487</f>
        <v>7</v>
      </c>
      <c r="I487" s="187"/>
    </row>
    <row r="488" s="126" customFormat="1" spans="1:9">
      <c r="A488" s="181"/>
      <c r="B488" s="182"/>
      <c r="C488" s="183"/>
      <c r="D488" s="184"/>
      <c r="E488" s="185"/>
      <c r="F488" s="185"/>
      <c r="G488" s="183"/>
      <c r="H488" s="186"/>
      <c r="I488" s="220"/>
    </row>
    <row r="489" s="125" customFormat="1" spans="1:57">
      <c r="A489" s="175" t="s">
        <v>272</v>
      </c>
      <c r="B489" s="176" t="str">
        <f>VLOOKUP(A489,Planilha!$A$11:$I$39026,4,FALSE)</f>
        <v>Forro PVC branco L = 20 cm, frisado, colocado</v>
      </c>
      <c r="C489" s="177" t="s">
        <v>28</v>
      </c>
      <c r="D489" s="178" t="s">
        <v>405</v>
      </c>
      <c r="E489" s="179" t="s">
        <v>406</v>
      </c>
      <c r="F489" s="179" t="s">
        <v>407</v>
      </c>
      <c r="G489" s="179" t="s">
        <v>408</v>
      </c>
      <c r="H489" s="180" t="s">
        <v>409</v>
      </c>
      <c r="I489" s="219">
        <f>SUM(H490:H492)</f>
        <v>72.015</v>
      </c>
      <c r="J489" s="126"/>
      <c r="K489" s="126"/>
      <c r="L489" s="126"/>
      <c r="M489" s="126"/>
      <c r="N489" s="126"/>
      <c r="O489" s="126"/>
      <c r="P489" s="126"/>
      <c r="Q489" s="126"/>
      <c r="R489" s="126"/>
      <c r="S489" s="126"/>
      <c r="T489" s="126"/>
      <c r="U489" s="126"/>
      <c r="V489" s="126"/>
      <c r="W489" s="126"/>
      <c r="X489" s="126"/>
      <c r="Y489" s="126"/>
      <c r="Z489" s="126"/>
      <c r="AA489" s="126"/>
      <c r="AB489" s="126"/>
      <c r="AC489" s="126"/>
      <c r="AD489" s="126"/>
      <c r="AE489" s="126"/>
      <c r="AF489" s="126"/>
      <c r="AG489" s="126"/>
      <c r="AH489" s="126"/>
      <c r="AI489" s="126"/>
      <c r="AJ489" s="126"/>
      <c r="AK489" s="126"/>
      <c r="AL489" s="126"/>
      <c r="AM489" s="126"/>
      <c r="AN489" s="126"/>
      <c r="AO489" s="126"/>
      <c r="AP489" s="126"/>
      <c r="AQ489" s="126"/>
      <c r="AR489" s="126"/>
      <c r="AS489" s="126"/>
      <c r="AT489" s="126"/>
      <c r="AU489" s="126"/>
      <c r="AV489" s="126"/>
      <c r="AW489" s="126"/>
      <c r="AX489" s="126"/>
      <c r="AY489" s="126"/>
      <c r="AZ489" s="126"/>
      <c r="BA489" s="126"/>
      <c r="BB489" s="126"/>
      <c r="BC489" s="126"/>
      <c r="BD489" s="126"/>
      <c r="BE489" s="126"/>
    </row>
    <row r="490" s="126" customFormat="1" spans="1:9">
      <c r="A490" s="181"/>
      <c r="B490" s="182" t="s">
        <v>410</v>
      </c>
      <c r="C490" s="183" t="s">
        <v>578</v>
      </c>
      <c r="D490" s="184">
        <v>3.25</v>
      </c>
      <c r="E490" s="185">
        <v>3.9</v>
      </c>
      <c r="F490" s="185"/>
      <c r="G490" s="183"/>
      <c r="H490" s="186">
        <f>E490*D490</f>
        <v>12.675</v>
      </c>
      <c r="I490" s="220"/>
    </row>
    <row r="491" s="126" customFormat="1" spans="1:9">
      <c r="A491" s="181"/>
      <c r="B491" s="182"/>
      <c r="C491" s="183" t="s">
        <v>422</v>
      </c>
      <c r="D491" s="189">
        <v>3.9</v>
      </c>
      <c r="E491" s="187">
        <v>2.6</v>
      </c>
      <c r="F491" s="187"/>
      <c r="G491" s="190"/>
      <c r="H491" s="186">
        <f>E491*D491</f>
        <v>10.14</v>
      </c>
      <c r="I491" s="220"/>
    </row>
    <row r="492" customFormat="1" spans="1:9">
      <c r="A492" s="187"/>
      <c r="B492" s="187"/>
      <c r="C492" s="188" t="s">
        <v>426</v>
      </c>
      <c r="D492" s="189">
        <v>8</v>
      </c>
      <c r="E492" s="187">
        <v>6.15</v>
      </c>
      <c r="F492" s="187"/>
      <c r="G492" s="190"/>
      <c r="H492" s="186">
        <f>E492*D492</f>
        <v>49.2</v>
      </c>
      <c r="I492" s="187"/>
    </row>
    <row r="493" customFormat="1" spans="1:9">
      <c r="A493" s="187"/>
      <c r="B493" s="187"/>
      <c r="C493" s="188"/>
      <c r="D493" s="189"/>
      <c r="E493" s="187"/>
      <c r="F493" s="187"/>
      <c r="G493" s="190"/>
      <c r="H493" s="186"/>
      <c r="I493" s="187"/>
    </row>
    <row r="494" s="125" customFormat="1" ht="76.5" spans="1:57">
      <c r="A494" s="175" t="s">
        <v>276</v>
      </c>
      <c r="B494" s="176" t="str">
        <f>VLOOKUP(A494,Planilha!$A$11:$I$39026,4,FALSE)</f>
        <v>Cerca H=2.30cm, c/tela losang. arame fio 12 malha 2" revest. em PVC com mourão curvo de concreto H=3,20m, secção T, fixado emsolo, a cada 3m, c/3 fios de arame farpado na parte curva, incl 3 fios tensores, chumbadores e sapata de 40x40x50cm</v>
      </c>
      <c r="C494" s="177" t="str">
        <f>VLOOKUP($A494,Planilha!$A$11:$I$39026,5,FALSE)</f>
        <v>m</v>
      </c>
      <c r="D494" s="178" t="s">
        <v>405</v>
      </c>
      <c r="E494" s="179" t="s">
        <v>406</v>
      </c>
      <c r="F494" s="179" t="s">
        <v>407</v>
      </c>
      <c r="G494" s="179" t="s">
        <v>408</v>
      </c>
      <c r="H494" s="180" t="s">
        <v>409</v>
      </c>
      <c r="I494" s="219">
        <f>SUM(H495:H495)</f>
        <v>7</v>
      </c>
      <c r="J494" s="126"/>
      <c r="K494" s="126"/>
      <c r="L494" s="126"/>
      <c r="M494" s="126"/>
      <c r="N494" s="126"/>
      <c r="O494" s="126"/>
      <c r="P494" s="126"/>
      <c r="Q494" s="126"/>
      <c r="R494" s="126"/>
      <c r="S494" s="126"/>
      <c r="T494" s="126"/>
      <c r="U494" s="126"/>
      <c r="V494" s="126"/>
      <c r="W494" s="126"/>
      <c r="X494" s="126"/>
      <c r="Y494" s="126"/>
      <c r="Z494" s="126"/>
      <c r="AA494" s="126"/>
      <c r="AB494" s="126"/>
      <c r="AC494" s="126"/>
      <c r="AD494" s="126"/>
      <c r="AE494" s="126"/>
      <c r="AF494" s="126"/>
      <c r="AG494" s="126"/>
      <c r="AH494" s="126"/>
      <c r="AI494" s="126"/>
      <c r="AJ494" s="126"/>
      <c r="AK494" s="126"/>
      <c r="AL494" s="126"/>
      <c r="AM494" s="126"/>
      <c r="AN494" s="126"/>
      <c r="AO494" s="126"/>
      <c r="AP494" s="126"/>
      <c r="AQ494" s="126"/>
      <c r="AR494" s="126"/>
      <c r="AS494" s="126"/>
      <c r="AT494" s="126"/>
      <c r="AU494" s="126"/>
      <c r="AV494" s="126"/>
      <c r="AW494" s="126"/>
      <c r="AX494" s="126"/>
      <c r="AY494" s="126"/>
      <c r="AZ494" s="126"/>
      <c r="BA494" s="126"/>
      <c r="BB494" s="126"/>
      <c r="BC494" s="126"/>
      <c r="BD494" s="126"/>
      <c r="BE494" s="126"/>
    </row>
    <row r="495" s="126" customFormat="1" ht="30" spans="1:9">
      <c r="A495" s="181"/>
      <c r="B495" s="182" t="s">
        <v>410</v>
      </c>
      <c r="C495" s="183" t="s">
        <v>515</v>
      </c>
      <c r="D495" s="184">
        <v>7</v>
      </c>
      <c r="E495" s="185"/>
      <c r="F495" s="185"/>
      <c r="G495" s="183"/>
      <c r="H495" s="186">
        <f>D495</f>
        <v>7</v>
      </c>
      <c r="I495" s="220"/>
    </row>
    <row r="496" s="126" customFormat="1" spans="1:9">
      <c r="A496" s="181"/>
      <c r="B496" s="182"/>
      <c r="C496" s="183"/>
      <c r="D496" s="184"/>
      <c r="E496" s="185"/>
      <c r="F496" s="185"/>
      <c r="G496" s="183"/>
      <c r="H496" s="186"/>
      <c r="I496" s="220"/>
    </row>
    <row r="497" s="125" customFormat="1" ht="51" spans="1:57">
      <c r="A497" s="175" t="s">
        <v>278</v>
      </c>
      <c r="B497" s="176" t="str">
        <f>VLOOKUP(A497,Planilha!$A$11:$I$39026,4,FALSE)</f>
        <v>Passeio de cimentado camurçado com argamassa de cimento e areia no traço 1:3 esp. 1.5cm, e lastro de concreto com 8cm de espessura, inclusive preparo de caixa</v>
      </c>
      <c r="C497" s="177" t="str">
        <f>VLOOKUP($A497,Planilha!$A$11:$I$39026,5,FALSE)</f>
        <v>m²</v>
      </c>
      <c r="D497" s="178" t="s">
        <v>405</v>
      </c>
      <c r="E497" s="179" t="s">
        <v>406</v>
      </c>
      <c r="F497" s="179" t="s">
        <v>407</v>
      </c>
      <c r="G497" s="179" t="s">
        <v>408</v>
      </c>
      <c r="H497" s="180" t="s">
        <v>409</v>
      </c>
      <c r="I497" s="219">
        <f>SUM(H498:H498)</f>
        <v>24</v>
      </c>
      <c r="J497" s="126"/>
      <c r="K497" s="126"/>
      <c r="L497" s="126"/>
      <c r="M497" s="126"/>
      <c r="N497" s="126"/>
      <c r="O497" s="126"/>
      <c r="P497" s="126"/>
      <c r="Q497" s="126"/>
      <c r="R497" s="126"/>
      <c r="S497" s="126"/>
      <c r="T497" s="126"/>
      <c r="U497" s="126"/>
      <c r="V497" s="126"/>
      <c r="W497" s="126"/>
      <c r="X497" s="126"/>
      <c r="Y497" s="126"/>
      <c r="Z497" s="126"/>
      <c r="AA497" s="126"/>
      <c r="AB497" s="126"/>
      <c r="AC497" s="126"/>
      <c r="AD497" s="126"/>
      <c r="AE497" s="126"/>
      <c r="AF497" s="126"/>
      <c r="AG497" s="126"/>
      <c r="AH497" s="126"/>
      <c r="AI497" s="126"/>
      <c r="AJ497" s="126"/>
      <c r="AK497" s="126"/>
      <c r="AL497" s="126"/>
      <c r="AM497" s="126"/>
      <c r="AN497" s="126"/>
      <c r="AO497" s="126"/>
      <c r="AP497" s="126"/>
      <c r="AQ497" s="126"/>
      <c r="AR497" s="126"/>
      <c r="AS497" s="126"/>
      <c r="AT497" s="126"/>
      <c r="AU497" s="126"/>
      <c r="AV497" s="126"/>
      <c r="AW497" s="126"/>
      <c r="AX497" s="126"/>
      <c r="AY497" s="126"/>
      <c r="AZ497" s="126"/>
      <c r="BA497" s="126"/>
      <c r="BB497" s="126"/>
      <c r="BC497" s="126"/>
      <c r="BD497" s="126"/>
      <c r="BE497" s="126"/>
    </row>
    <row r="498" s="126" customFormat="1" ht="30" spans="1:9">
      <c r="A498" s="181"/>
      <c r="B498" s="182" t="s">
        <v>410</v>
      </c>
      <c r="C498" s="183" t="s">
        <v>515</v>
      </c>
      <c r="D498" s="184">
        <v>20</v>
      </c>
      <c r="E498" s="185">
        <v>1.2</v>
      </c>
      <c r="F498" s="185"/>
      <c r="G498" s="183"/>
      <c r="H498" s="186">
        <f>E498*D498</f>
        <v>24</v>
      </c>
      <c r="I498" s="220"/>
    </row>
    <row r="499" s="126" customFormat="1" spans="1:9">
      <c r="A499" s="181"/>
      <c r="B499" s="182"/>
      <c r="C499" s="183"/>
      <c r="D499" s="184"/>
      <c r="E499" s="185"/>
      <c r="F499" s="185"/>
      <c r="G499" s="183"/>
      <c r="H499" s="186"/>
      <c r="I499" s="220"/>
    </row>
    <row r="500" s="125" customFormat="1" ht="38.25" spans="1:57">
      <c r="A500" s="175" t="s">
        <v>280</v>
      </c>
      <c r="B500" s="176" t="str">
        <f>VLOOKUP(A500,Planilha!$A$11:$I$39026,4,FALSE)</f>
        <v>Placa para inauguração de obra em alumínio polido e=4mm, dimensões 40 x 50 cm, gravação em baixo relevo, inclusive pintura e fixação</v>
      </c>
      <c r="C500" s="177" t="str">
        <f>VLOOKUP($A500,Planilha!$A$11:$I$39026,5,FALSE)</f>
        <v>und</v>
      </c>
      <c r="D500" s="178" t="s">
        <v>405</v>
      </c>
      <c r="E500" s="179" t="s">
        <v>406</v>
      </c>
      <c r="F500" s="179" t="s">
        <v>407</v>
      </c>
      <c r="G500" s="179" t="s">
        <v>550</v>
      </c>
      <c r="H500" s="180" t="s">
        <v>457</v>
      </c>
      <c r="I500" s="219">
        <f>SUM(H501)</f>
        <v>1</v>
      </c>
      <c r="J500" s="126"/>
      <c r="K500" s="126"/>
      <c r="L500" s="126"/>
      <c r="M500" s="126"/>
      <c r="N500" s="126"/>
      <c r="O500" s="126"/>
      <c r="P500" s="126"/>
      <c r="Q500" s="126"/>
      <c r="R500" s="126"/>
      <c r="S500" s="126"/>
      <c r="T500" s="126"/>
      <c r="U500" s="126"/>
      <c r="V500" s="126"/>
      <c r="W500" s="126"/>
      <c r="X500" s="126"/>
      <c r="Y500" s="126"/>
      <c r="Z500" s="126"/>
      <c r="AA500" s="126"/>
      <c r="AB500" s="126"/>
      <c r="AC500" s="126"/>
      <c r="AD500" s="126"/>
      <c r="AE500" s="126"/>
      <c r="AF500" s="126"/>
      <c r="AG500" s="126"/>
      <c r="AH500" s="126"/>
      <c r="AI500" s="126"/>
      <c r="AJ500" s="126"/>
      <c r="AK500" s="126"/>
      <c r="AL500" s="126"/>
      <c r="AM500" s="126"/>
      <c r="AN500" s="126"/>
      <c r="AO500" s="126"/>
      <c r="AP500" s="126"/>
      <c r="AQ500" s="126"/>
      <c r="AR500" s="126"/>
      <c r="AS500" s="126"/>
      <c r="AT500" s="126"/>
      <c r="AU500" s="126"/>
      <c r="AV500" s="126"/>
      <c r="AW500" s="126"/>
      <c r="AX500" s="126"/>
      <c r="AY500" s="126"/>
      <c r="AZ500" s="126"/>
      <c r="BA500" s="126"/>
      <c r="BB500" s="126"/>
      <c r="BC500" s="126"/>
      <c r="BD500" s="126"/>
      <c r="BE500" s="126"/>
    </row>
    <row r="501" spans="1:9">
      <c r="A501" s="187"/>
      <c r="B501" s="182" t="s">
        <v>410</v>
      </c>
      <c r="C501" s="183" t="s">
        <v>579</v>
      </c>
      <c r="D501" s="184"/>
      <c r="E501" s="185"/>
      <c r="F501" s="185"/>
      <c r="G501" s="183"/>
      <c r="H501" s="186">
        <v>1</v>
      </c>
      <c r="I501" s="187"/>
    </row>
    <row r="502" spans="1:9">
      <c r="A502" s="187"/>
      <c r="B502" s="182"/>
      <c r="C502" s="183"/>
      <c r="D502" s="184"/>
      <c r="E502" s="185"/>
      <c r="F502" s="185"/>
      <c r="G502" s="183"/>
      <c r="H502" s="186"/>
      <c r="I502" s="187"/>
    </row>
    <row r="503" s="125" customFormat="1" ht="38.25" spans="1:57">
      <c r="A503" s="175" t="s">
        <v>282</v>
      </c>
      <c r="B503" s="176" t="str">
        <f>VLOOKUP(A503,Planilha!$A$11:$I$39026,4,FALSE)</f>
        <v>Confecção e instalação de placa em acm adesivada com aplicação de verniz, estrutra em metalon galvanizado medindo 3,2 x 0,7</v>
      </c>
      <c r="C503" s="177" t="str">
        <f>VLOOKUP($A503,Planilha!$A$11:$I$39026,5,FALSE)</f>
        <v>und</v>
      </c>
      <c r="D503" s="178" t="s">
        <v>405</v>
      </c>
      <c r="E503" s="179" t="s">
        <v>406</v>
      </c>
      <c r="F503" s="179" t="s">
        <v>407</v>
      </c>
      <c r="G503" s="179" t="s">
        <v>550</v>
      </c>
      <c r="H503" s="180" t="s">
        <v>457</v>
      </c>
      <c r="I503" s="219">
        <f>SUM(H504)</f>
        <v>1</v>
      </c>
      <c r="J503" s="126"/>
      <c r="K503" s="126"/>
      <c r="L503" s="126"/>
      <c r="M503" s="126"/>
      <c r="N503" s="126"/>
      <c r="O503" s="126"/>
      <c r="P503" s="126"/>
      <c r="Q503" s="126"/>
      <c r="R503" s="126"/>
      <c r="S503" s="126"/>
      <c r="T503" s="126"/>
      <c r="U503" s="126"/>
      <c r="V503" s="126"/>
      <c r="W503" s="126"/>
      <c r="X503" s="126"/>
      <c r="Y503" s="126"/>
      <c r="Z503" s="126"/>
      <c r="AA503" s="126"/>
      <c r="AB503" s="126"/>
      <c r="AC503" s="126"/>
      <c r="AD503" s="126"/>
      <c r="AE503" s="126"/>
      <c r="AF503" s="126"/>
      <c r="AG503" s="126"/>
      <c r="AH503" s="126"/>
      <c r="AI503" s="126"/>
      <c r="AJ503" s="126"/>
      <c r="AK503" s="126"/>
      <c r="AL503" s="126"/>
      <c r="AM503" s="126"/>
      <c r="AN503" s="126"/>
      <c r="AO503" s="126"/>
      <c r="AP503" s="126"/>
      <c r="AQ503" s="126"/>
      <c r="AR503" s="126"/>
      <c r="AS503" s="126"/>
      <c r="AT503" s="126"/>
      <c r="AU503" s="126"/>
      <c r="AV503" s="126"/>
      <c r="AW503" s="126"/>
      <c r="AX503" s="126"/>
      <c r="AY503" s="126"/>
      <c r="AZ503" s="126"/>
      <c r="BA503" s="126"/>
      <c r="BB503" s="126"/>
      <c r="BC503" s="126"/>
      <c r="BD503" s="126"/>
      <c r="BE503" s="126"/>
    </row>
    <row r="504" customFormat="1" spans="1:9">
      <c r="A504" s="187"/>
      <c r="B504" s="182" t="s">
        <v>410</v>
      </c>
      <c r="C504" s="183" t="s">
        <v>580</v>
      </c>
      <c r="D504" s="184"/>
      <c r="E504" s="185"/>
      <c r="F504" s="185"/>
      <c r="G504" s="183"/>
      <c r="H504" s="186">
        <v>1</v>
      </c>
      <c r="I504" s="187"/>
    </row>
    <row r="505" customFormat="1" spans="1:9">
      <c r="A505" s="187"/>
      <c r="B505" s="182"/>
      <c r="C505" s="183"/>
      <c r="D505" s="184"/>
      <c r="E505" s="185"/>
      <c r="F505" s="185"/>
      <c r="G505" s="183"/>
      <c r="H505" s="186"/>
      <c r="I505" s="187"/>
    </row>
    <row r="506" s="125" customFormat="1" spans="1:57">
      <c r="A506" s="175" t="s">
        <v>288</v>
      </c>
      <c r="B506" s="176" t="str">
        <f>VLOOKUP(A506,Planilha!$A$11:$I$39026,4,FALSE)</f>
        <v>Limpeza geral da obra (edificação)</v>
      </c>
      <c r="C506" s="177" t="str">
        <f>VLOOKUP($A506,Planilha!$A$11:$I$39026,5,FALSE)</f>
        <v>m²</v>
      </c>
      <c r="D506" s="178" t="s">
        <v>405</v>
      </c>
      <c r="E506" s="179" t="s">
        <v>406</v>
      </c>
      <c r="F506" s="179" t="s">
        <v>407</v>
      </c>
      <c r="G506" s="179" t="s">
        <v>550</v>
      </c>
      <c r="H506" s="180" t="s">
        <v>457</v>
      </c>
      <c r="I506" s="219">
        <f>SUM(H507)</f>
        <v>327.73</v>
      </c>
      <c r="J506" s="126"/>
      <c r="K506" s="126"/>
      <c r="L506" s="126"/>
      <c r="M506" s="126"/>
      <c r="N506" s="126"/>
      <c r="O506" s="126"/>
      <c r="P506" s="126"/>
      <c r="Q506" s="126"/>
      <c r="R506" s="126"/>
      <c r="S506" s="126"/>
      <c r="T506" s="126"/>
      <c r="U506" s="126"/>
      <c r="V506" s="126"/>
      <c r="W506" s="126"/>
      <c r="X506" s="126"/>
      <c r="Y506" s="126"/>
      <c r="Z506" s="126"/>
      <c r="AA506" s="126"/>
      <c r="AB506" s="126"/>
      <c r="AC506" s="126"/>
      <c r="AD506" s="126"/>
      <c r="AE506" s="126"/>
      <c r="AF506" s="126"/>
      <c r="AG506" s="126"/>
      <c r="AH506" s="126"/>
      <c r="AI506" s="126"/>
      <c r="AJ506" s="126"/>
      <c r="AK506" s="126"/>
      <c r="AL506" s="126"/>
      <c r="AM506" s="126"/>
      <c r="AN506" s="126"/>
      <c r="AO506" s="126"/>
      <c r="AP506" s="126"/>
      <c r="AQ506" s="126"/>
      <c r="AR506" s="126"/>
      <c r="AS506" s="126"/>
      <c r="AT506" s="126"/>
      <c r="AU506" s="126"/>
      <c r="AV506" s="126"/>
      <c r="AW506" s="126"/>
      <c r="AX506" s="126"/>
      <c r="AY506" s="126"/>
      <c r="AZ506" s="126"/>
      <c r="BA506" s="126"/>
      <c r="BB506" s="126"/>
      <c r="BC506" s="126"/>
      <c r="BD506" s="126"/>
      <c r="BE506" s="126"/>
    </row>
    <row r="507" spans="1:9">
      <c r="A507" s="187"/>
      <c r="B507" s="182" t="s">
        <v>410</v>
      </c>
      <c r="C507" s="183" t="s">
        <v>581</v>
      </c>
      <c r="D507" s="184"/>
      <c r="E507" s="185"/>
      <c r="F507" s="185"/>
      <c r="G507" s="183"/>
      <c r="H507" s="186">
        <v>327.73</v>
      </c>
      <c r="I507" s="187"/>
    </row>
    <row r="508" spans="1:9">
      <c r="A508" s="187"/>
      <c r="B508" s="182"/>
      <c r="C508" s="183"/>
      <c r="D508" s="184"/>
      <c r="E508" s="185"/>
      <c r="F508" s="185"/>
      <c r="G508" s="183"/>
      <c r="H508" s="186"/>
      <c r="I508" s="187"/>
    </row>
    <row r="509" s="125" customFormat="1" ht="63.75" spans="1:57">
      <c r="A509" s="175" t="s">
        <v>292</v>
      </c>
      <c r="B509" s="176" t="str">
        <f>VLOOKUP(A509,Planilha!$A$11:$I$39026,4,FALSE)</f>
        <v>Quadro pincel novo, completo, de laminado melamínico alta pressão, "LOUSA" quadriculado, cor branco brilhante, linha Lousas, padrão F608 Brancoline, esp. 1mm, incl. requadro madeira 2.5 x 5.0 cm e porta pincel, dim. 3.95 x 1.29 m</v>
      </c>
      <c r="C509" s="177" t="str">
        <f>VLOOKUP($A509,Planilha!$A$11:$I$39026,5,FALSE)</f>
        <v>und</v>
      </c>
      <c r="D509" s="178" t="s">
        <v>405</v>
      </c>
      <c r="E509" s="179" t="s">
        <v>406</v>
      </c>
      <c r="F509" s="179" t="s">
        <v>407</v>
      </c>
      <c r="G509" s="179" t="s">
        <v>550</v>
      </c>
      <c r="H509" s="180" t="s">
        <v>457</v>
      </c>
      <c r="I509" s="219">
        <f>SUM(H510)</f>
        <v>1</v>
      </c>
      <c r="J509" s="126"/>
      <c r="K509" s="126"/>
      <c r="L509" s="126"/>
      <c r="M509" s="126"/>
      <c r="N509" s="126"/>
      <c r="O509" s="126"/>
      <c r="P509" s="126"/>
      <c r="Q509" s="126"/>
      <c r="R509" s="126"/>
      <c r="S509" s="126"/>
      <c r="T509" s="126"/>
      <c r="U509" s="126"/>
      <c r="V509" s="126"/>
      <c r="W509" s="126"/>
      <c r="X509" s="126"/>
      <c r="Y509" s="126"/>
      <c r="Z509" s="126"/>
      <c r="AA509" s="126"/>
      <c r="AB509" s="126"/>
      <c r="AC509" s="126"/>
      <c r="AD509" s="126"/>
      <c r="AE509" s="126"/>
      <c r="AF509" s="126"/>
      <c r="AG509" s="126"/>
      <c r="AH509" s="126"/>
      <c r="AI509" s="126"/>
      <c r="AJ509" s="126"/>
      <c r="AK509" s="126"/>
      <c r="AL509" s="126"/>
      <c r="AM509" s="126"/>
      <c r="AN509" s="126"/>
      <c r="AO509" s="126"/>
      <c r="AP509" s="126"/>
      <c r="AQ509" s="126"/>
      <c r="AR509" s="126"/>
      <c r="AS509" s="126"/>
      <c r="AT509" s="126"/>
      <c r="AU509" s="126"/>
      <c r="AV509" s="126"/>
      <c r="AW509" s="126"/>
      <c r="AX509" s="126"/>
      <c r="AY509" s="126"/>
      <c r="AZ509" s="126"/>
      <c r="BA509" s="126"/>
      <c r="BB509" s="126"/>
      <c r="BC509" s="126"/>
      <c r="BD509" s="126"/>
      <c r="BE509" s="126"/>
    </row>
    <row r="510" spans="1:9">
      <c r="A510" s="187"/>
      <c r="B510" s="182" t="s">
        <v>410</v>
      </c>
      <c r="C510" s="183" t="s">
        <v>582</v>
      </c>
      <c r="D510" s="184"/>
      <c r="E510" s="185"/>
      <c r="F510" s="185"/>
      <c r="G510" s="183"/>
      <c r="H510" s="186">
        <v>1</v>
      </c>
      <c r="I510" s="187"/>
    </row>
    <row r="511" spans="1:9">
      <c r="A511" s="187"/>
      <c r="B511" s="187"/>
      <c r="C511" s="188"/>
      <c r="D511" s="189"/>
      <c r="E511" s="187"/>
      <c r="F511" s="187"/>
      <c r="G511" s="190"/>
      <c r="H511" s="191"/>
      <c r="I511" s="187"/>
    </row>
    <row r="512" s="125" customFormat="1" spans="1:57">
      <c r="A512" s="175" t="s">
        <v>299</v>
      </c>
      <c r="B512" s="176" t="str">
        <f>VLOOKUP(A512,Planilha!$A$11:$I$39026,4,FALSE)</f>
        <v>Raspagem e limpeza do terreno (manual)</v>
      </c>
      <c r="C512" s="177" t="str">
        <f>VLOOKUP($A512,Planilha!$A$11:$I$39026,5,FALSE)</f>
        <v>m²</v>
      </c>
      <c r="D512" s="178" t="s">
        <v>405</v>
      </c>
      <c r="E512" s="179" t="s">
        <v>406</v>
      </c>
      <c r="F512" s="179" t="s">
        <v>407</v>
      </c>
      <c r="G512" s="179" t="s">
        <v>408</v>
      </c>
      <c r="H512" s="180" t="s">
        <v>409</v>
      </c>
      <c r="I512" s="219">
        <f>SUM(H513:H513)</f>
        <v>14.7075</v>
      </c>
      <c r="J512" s="126"/>
      <c r="K512" s="126"/>
      <c r="L512" s="126"/>
      <c r="M512" s="126"/>
      <c r="N512" s="126"/>
      <c r="O512" s="126"/>
      <c r="P512" s="126"/>
      <c r="Q512" s="126"/>
      <c r="R512" s="126"/>
      <c r="S512" s="126"/>
      <c r="T512" s="126"/>
      <c r="U512" s="126"/>
      <c r="V512" s="126"/>
      <c r="W512" s="126"/>
      <c r="X512" s="126"/>
      <c r="Y512" s="126"/>
      <c r="Z512" s="126"/>
      <c r="AA512" s="126"/>
      <c r="AB512" s="126"/>
      <c r="AC512" s="126"/>
      <c r="AD512" s="126"/>
      <c r="AE512" s="126"/>
      <c r="AF512" s="126"/>
      <c r="AG512" s="126"/>
      <c r="AH512" s="126"/>
      <c r="AI512" s="126"/>
      <c r="AJ512" s="126"/>
      <c r="AK512" s="126"/>
      <c r="AL512" s="126"/>
      <c r="AM512" s="126"/>
      <c r="AN512" s="126"/>
      <c r="AO512" s="126"/>
      <c r="AP512" s="126"/>
      <c r="AQ512" s="126"/>
      <c r="AR512" s="126"/>
      <c r="AS512" s="126"/>
      <c r="AT512" s="126"/>
      <c r="AU512" s="126"/>
      <c r="AV512" s="126"/>
      <c r="AW512" s="126"/>
      <c r="AX512" s="126"/>
      <c r="AY512" s="126"/>
      <c r="AZ512" s="126"/>
      <c r="BA512" s="126"/>
      <c r="BB512" s="126"/>
      <c r="BC512" s="126"/>
      <c r="BD512" s="126"/>
      <c r="BE512" s="126"/>
    </row>
    <row r="513" s="126" customFormat="1" spans="1:9">
      <c r="A513" s="181"/>
      <c r="B513" s="182" t="s">
        <v>410</v>
      </c>
      <c r="C513" s="183" t="s">
        <v>583</v>
      </c>
      <c r="D513" s="184">
        <f>4.55+1</f>
        <v>5.55</v>
      </c>
      <c r="E513" s="185">
        <f>1.65+1</f>
        <v>2.65</v>
      </c>
      <c r="F513" s="185"/>
      <c r="G513" s="183"/>
      <c r="H513" s="186">
        <f>D513*E513</f>
        <v>14.7075</v>
      </c>
      <c r="I513" s="220"/>
    </row>
    <row r="514" spans="1:9">
      <c r="A514" s="187"/>
      <c r="B514" s="187"/>
      <c r="C514" s="188"/>
      <c r="D514" s="189"/>
      <c r="E514" s="187"/>
      <c r="F514" s="187"/>
      <c r="G514" s="190"/>
      <c r="H514" s="191"/>
      <c r="I514" s="187"/>
    </row>
    <row r="515" s="125" customFormat="1" spans="1:57">
      <c r="A515" s="175" t="s">
        <v>302</v>
      </c>
      <c r="B515" s="176" t="str">
        <f>VLOOKUP(A515,Planilha!$A$11:$I$39026,4,FALSE)</f>
        <v>Locação de obra com gabarito de madeira</v>
      </c>
      <c r="C515" s="177" t="str">
        <f>VLOOKUP($A515,Planilha!$A$11:$I$39026,5,FALSE)</f>
        <v>m²</v>
      </c>
      <c r="D515" s="178" t="s">
        <v>405</v>
      </c>
      <c r="E515" s="179" t="s">
        <v>406</v>
      </c>
      <c r="F515" s="179" t="s">
        <v>407</v>
      </c>
      <c r="G515" s="179" t="s">
        <v>408</v>
      </c>
      <c r="H515" s="180" t="s">
        <v>409</v>
      </c>
      <c r="I515" s="219">
        <f>SUM(H516:H516)</f>
        <v>14.7075</v>
      </c>
      <c r="J515" s="126"/>
      <c r="K515" s="126"/>
      <c r="L515" s="126"/>
      <c r="M515" s="126"/>
      <c r="N515" s="126"/>
      <c r="O515" s="126"/>
      <c r="P515" s="126"/>
      <c r="Q515" s="126"/>
      <c r="R515" s="126"/>
      <c r="S515" s="126"/>
      <c r="T515" s="126"/>
      <c r="U515" s="126"/>
      <c r="V515" s="126"/>
      <c r="W515" s="126"/>
      <c r="X515" s="126"/>
      <c r="Y515" s="126"/>
      <c r="Z515" s="126"/>
      <c r="AA515" s="126"/>
      <c r="AB515" s="126"/>
      <c r="AC515" s="126"/>
      <c r="AD515" s="126"/>
      <c r="AE515" s="126"/>
      <c r="AF515" s="126"/>
      <c r="AG515" s="126"/>
      <c r="AH515" s="126"/>
      <c r="AI515" s="126"/>
      <c r="AJ515" s="126"/>
      <c r="AK515" s="126"/>
      <c r="AL515" s="126"/>
      <c r="AM515" s="126"/>
      <c r="AN515" s="126"/>
      <c r="AO515" s="126"/>
      <c r="AP515" s="126"/>
      <c r="AQ515" s="126"/>
      <c r="AR515" s="126"/>
      <c r="AS515" s="126"/>
      <c r="AT515" s="126"/>
      <c r="AU515" s="126"/>
      <c r="AV515" s="126"/>
      <c r="AW515" s="126"/>
      <c r="AX515" s="126"/>
      <c r="AY515" s="126"/>
      <c r="AZ515" s="126"/>
      <c r="BA515" s="126"/>
      <c r="BB515" s="126"/>
      <c r="BC515" s="126"/>
      <c r="BD515" s="126"/>
      <c r="BE515" s="126"/>
    </row>
    <row r="516" s="126" customFormat="1" spans="1:9">
      <c r="A516" s="181"/>
      <c r="B516" s="182" t="s">
        <v>410</v>
      </c>
      <c r="C516" s="183" t="s">
        <v>583</v>
      </c>
      <c r="D516" s="184">
        <f>4.55+1</f>
        <v>5.55</v>
      </c>
      <c r="E516" s="185">
        <f>1.65+1</f>
        <v>2.65</v>
      </c>
      <c r="F516" s="185"/>
      <c r="G516" s="183"/>
      <c r="H516" s="186">
        <f>D516*E516</f>
        <v>14.7075</v>
      </c>
      <c r="I516" s="220"/>
    </row>
    <row r="517" spans="1:9">
      <c r="A517" s="187"/>
      <c r="B517" s="187"/>
      <c r="C517" s="188"/>
      <c r="D517" s="189"/>
      <c r="E517" s="187"/>
      <c r="F517" s="187"/>
      <c r="G517" s="190"/>
      <c r="H517" s="191"/>
      <c r="I517" s="187"/>
    </row>
    <row r="518" s="125" customFormat="1" ht="25.5" spans="1:57">
      <c r="A518" s="175" t="s">
        <v>306</v>
      </c>
      <c r="B518" s="176" t="str">
        <f>VLOOKUP(A518,Planilha!$A$11:$I$39026,4,FALSE)</f>
        <v>Escavação manual em material de 1a. categoria, até 1.50 m de profundidade</v>
      </c>
      <c r="C518" s="177" t="str">
        <f>VLOOKUP($A518,Planilha!$A$11:$I$39026,5,FALSE)</f>
        <v>m³</v>
      </c>
      <c r="D518" s="178" t="s">
        <v>405</v>
      </c>
      <c r="E518" s="179" t="s">
        <v>406</v>
      </c>
      <c r="F518" s="179" t="s">
        <v>407</v>
      </c>
      <c r="G518" s="179" t="s">
        <v>408</v>
      </c>
      <c r="H518" s="180" t="s">
        <v>411</v>
      </c>
      <c r="I518" s="219">
        <f>SUM(H519:H520)</f>
        <v>10.61648</v>
      </c>
      <c r="J518" s="126"/>
      <c r="K518" s="126"/>
      <c r="L518" s="126"/>
      <c r="M518" s="126"/>
      <c r="N518" s="126"/>
      <c r="O518" s="126"/>
      <c r="P518" s="126"/>
      <c r="Q518" s="126"/>
      <c r="R518" s="126"/>
      <c r="S518" s="126"/>
      <c r="T518" s="126"/>
      <c r="U518" s="126"/>
      <c r="V518" s="126"/>
      <c r="W518" s="126"/>
      <c r="X518" s="126"/>
      <c r="Y518" s="126"/>
      <c r="Z518" s="126"/>
      <c r="AA518" s="126"/>
      <c r="AB518" s="126"/>
      <c r="AC518" s="126"/>
      <c r="AD518" s="126"/>
      <c r="AE518" s="126"/>
      <c r="AF518" s="126"/>
      <c r="AG518" s="126"/>
      <c r="AH518" s="126"/>
      <c r="AI518" s="126"/>
      <c r="AJ518" s="126"/>
      <c r="AK518" s="126"/>
      <c r="AL518" s="126"/>
      <c r="AM518" s="126"/>
      <c r="AN518" s="126"/>
      <c r="AO518" s="126"/>
      <c r="AP518" s="126"/>
      <c r="AQ518" s="126"/>
      <c r="AR518" s="126"/>
      <c r="AS518" s="126"/>
      <c r="AT518" s="126"/>
      <c r="AU518" s="126"/>
      <c r="AV518" s="126"/>
      <c r="AW518" s="126"/>
      <c r="AX518" s="126"/>
      <c r="AY518" s="126"/>
      <c r="AZ518" s="126"/>
      <c r="BA518" s="126"/>
      <c r="BB518" s="126"/>
      <c r="BC518" s="126"/>
      <c r="BD518" s="126"/>
      <c r="BE518" s="126"/>
    </row>
    <row r="519" s="126" customFormat="1" spans="1:9">
      <c r="A519" s="181"/>
      <c r="B519" s="182" t="s">
        <v>410</v>
      </c>
      <c r="C519" s="183" t="s">
        <v>584</v>
      </c>
      <c r="D519" s="184">
        <v>1.5</v>
      </c>
      <c r="E519" s="185">
        <v>1.35</v>
      </c>
      <c r="F519" s="185">
        <v>1.6</v>
      </c>
      <c r="G519" s="183">
        <v>3</v>
      </c>
      <c r="H519" s="186">
        <f t="shared" ref="H519:H527" si="31">G519*F519*E519*D519</f>
        <v>9.72</v>
      </c>
      <c r="I519" s="220"/>
    </row>
    <row r="520" spans="1:9">
      <c r="A520" s="187"/>
      <c r="B520" s="187"/>
      <c r="C520" s="188" t="s">
        <v>585</v>
      </c>
      <c r="D520" s="189">
        <v>4.31</v>
      </c>
      <c r="E520" s="187">
        <v>0.52</v>
      </c>
      <c r="F520" s="187">
        <v>0.4</v>
      </c>
      <c r="G520" s="190">
        <v>1</v>
      </c>
      <c r="H520" s="186">
        <f t="shared" si="31"/>
        <v>0.89648</v>
      </c>
      <c r="I520" s="187"/>
    </row>
    <row r="521" spans="1:9">
      <c r="A521" s="187"/>
      <c r="B521" s="187"/>
      <c r="C521" s="188"/>
      <c r="D521" s="189"/>
      <c r="E521" s="187"/>
      <c r="F521" s="187"/>
      <c r="G521" s="190"/>
      <c r="H521" s="191"/>
      <c r="I521" s="187"/>
    </row>
    <row r="522" s="125" customFormat="1" ht="25.5" spans="1:57">
      <c r="A522" s="175" t="s">
        <v>307</v>
      </c>
      <c r="B522" s="176" t="str">
        <f>VLOOKUP(A522,Planilha!$A$11:$I$39026,4,FALSE)</f>
        <v>Reaterro apiloado de cavas de fundação, em camadas de 20 cm</v>
      </c>
      <c r="C522" s="177" t="str">
        <f>VLOOKUP($A522,Planilha!$A$11:$I$39026,5,FALSE)</f>
        <v>m³</v>
      </c>
      <c r="D522" s="178" t="s">
        <v>405</v>
      </c>
      <c r="E522" s="179" t="s">
        <v>406</v>
      </c>
      <c r="F522" s="179" t="s">
        <v>407</v>
      </c>
      <c r="G522" s="179" t="s">
        <v>408</v>
      </c>
      <c r="H522" s="180" t="s">
        <v>411</v>
      </c>
      <c r="I522" s="219">
        <f>SUM(H523:H524)-SUM(H525:H527)</f>
        <v>9.21686</v>
      </c>
      <c r="J522" s="126"/>
      <c r="K522" s="126"/>
      <c r="L522" s="126"/>
      <c r="M522" s="126"/>
      <c r="N522" s="126"/>
      <c r="O522" s="126"/>
      <c r="P522" s="126"/>
      <c r="Q522" s="126"/>
      <c r="R522" s="126"/>
      <c r="S522" s="126"/>
      <c r="T522" s="126"/>
      <c r="U522" s="126"/>
      <c r="V522" s="126"/>
      <c r="W522" s="126"/>
      <c r="X522" s="126"/>
      <c r="Y522" s="126"/>
      <c r="Z522" s="126"/>
      <c r="AA522" s="126"/>
      <c r="AB522" s="126"/>
      <c r="AC522" s="126"/>
      <c r="AD522" s="126"/>
      <c r="AE522" s="126"/>
      <c r="AF522" s="126"/>
      <c r="AG522" s="126"/>
      <c r="AH522" s="126"/>
      <c r="AI522" s="126"/>
      <c r="AJ522" s="126"/>
      <c r="AK522" s="126"/>
      <c r="AL522" s="126"/>
      <c r="AM522" s="126"/>
      <c r="AN522" s="126"/>
      <c r="AO522" s="126"/>
      <c r="AP522" s="126"/>
      <c r="AQ522" s="126"/>
      <c r="AR522" s="126"/>
      <c r="AS522" s="126"/>
      <c r="AT522" s="126"/>
      <c r="AU522" s="126"/>
      <c r="AV522" s="126"/>
      <c r="AW522" s="126"/>
      <c r="AX522" s="126"/>
      <c r="AY522" s="126"/>
      <c r="AZ522" s="126"/>
      <c r="BA522" s="126"/>
      <c r="BB522" s="126"/>
      <c r="BC522" s="126"/>
      <c r="BD522" s="126"/>
      <c r="BE522" s="126"/>
    </row>
    <row r="523" s="126" customFormat="1" spans="1:9">
      <c r="A523" s="181"/>
      <c r="B523" s="182" t="s">
        <v>410</v>
      </c>
      <c r="C523" s="183" t="s">
        <v>584</v>
      </c>
      <c r="D523" s="184">
        <v>1.5</v>
      </c>
      <c r="E523" s="185">
        <v>1.35</v>
      </c>
      <c r="F523" s="185">
        <v>1.6</v>
      </c>
      <c r="G523" s="183">
        <v>3</v>
      </c>
      <c r="H523" s="186">
        <f t="shared" si="31"/>
        <v>9.72</v>
      </c>
      <c r="I523" s="220"/>
    </row>
    <row r="524" spans="1:9">
      <c r="A524" s="187"/>
      <c r="B524" s="187"/>
      <c r="C524" s="188" t="s">
        <v>585</v>
      </c>
      <c r="D524" s="189">
        <f>(1.32-0.6)*3+(4.55-2.4)</f>
        <v>4.31</v>
      </c>
      <c r="E524" s="187">
        <v>0.52</v>
      </c>
      <c r="F524" s="187">
        <v>0.4</v>
      </c>
      <c r="G524" s="190">
        <v>1</v>
      </c>
      <c r="H524" s="186">
        <f t="shared" si="31"/>
        <v>0.89648</v>
      </c>
      <c r="I524" s="187"/>
    </row>
    <row r="525" spans="1:9">
      <c r="A525" s="187"/>
      <c r="B525" s="187"/>
      <c r="C525" s="183" t="s">
        <v>586</v>
      </c>
      <c r="D525" s="189">
        <v>0.9</v>
      </c>
      <c r="E525" s="187">
        <v>1.1</v>
      </c>
      <c r="F525" s="187">
        <v>0.3</v>
      </c>
      <c r="G525" s="190">
        <v>3</v>
      </c>
      <c r="H525" s="186">
        <f t="shared" si="31"/>
        <v>0.891</v>
      </c>
      <c r="I525" s="187"/>
    </row>
    <row r="526" spans="1:9">
      <c r="A526" s="187"/>
      <c r="B526" s="187"/>
      <c r="C526" s="188" t="s">
        <v>587</v>
      </c>
      <c r="D526" s="189">
        <v>8.51</v>
      </c>
      <c r="E526" s="187">
        <v>0.14</v>
      </c>
      <c r="F526" s="187">
        <v>0.3</v>
      </c>
      <c r="G526" s="190">
        <v>1</v>
      </c>
      <c r="H526" s="186">
        <f t="shared" si="31"/>
        <v>0.35742</v>
      </c>
      <c r="I526" s="187"/>
    </row>
    <row r="527" spans="1:9">
      <c r="A527" s="187"/>
      <c r="B527" s="187"/>
      <c r="C527" s="188" t="s">
        <v>588</v>
      </c>
      <c r="D527" s="189">
        <v>0.14</v>
      </c>
      <c r="E527" s="187">
        <v>0.3</v>
      </c>
      <c r="F527" s="187">
        <v>1.2</v>
      </c>
      <c r="G527" s="190">
        <v>3</v>
      </c>
      <c r="H527" s="186">
        <f t="shared" si="31"/>
        <v>0.1512</v>
      </c>
      <c r="I527" s="187"/>
    </row>
    <row r="528" spans="1:9">
      <c r="A528" s="187"/>
      <c r="B528" s="187"/>
      <c r="C528" s="188"/>
      <c r="D528" s="189"/>
      <c r="E528" s="187"/>
      <c r="F528" s="187"/>
      <c r="G528" s="190"/>
      <c r="H528" s="186"/>
      <c r="I528" s="187"/>
    </row>
    <row r="529" s="125" customFormat="1" ht="38.25" spans="1:57">
      <c r="A529" s="175" t="s">
        <v>308</v>
      </c>
      <c r="B529" s="176" t="str">
        <f>VLOOKUP(A529,Planilha!$A$11:$I$39026,4,FALSE)</f>
        <v>Aterro manual para regularização do terreno em areia, inclusive adensamento hidráulico e fornecimento do material (máximo de 100m3)</v>
      </c>
      <c r="C529" s="177" t="str">
        <f>VLOOKUP($A529,Planilha!$A$11:$I$39026,5,FALSE)</f>
        <v>m³</v>
      </c>
      <c r="D529" s="178" t="s">
        <v>405</v>
      </c>
      <c r="E529" s="179" t="s">
        <v>406</v>
      </c>
      <c r="F529" s="179" t="s">
        <v>407</v>
      </c>
      <c r="G529" s="179" t="s">
        <v>408</v>
      </c>
      <c r="H529" s="180" t="s">
        <v>411</v>
      </c>
      <c r="I529" s="219">
        <f>SUM(H530)</f>
        <v>1.05105</v>
      </c>
      <c r="J529" s="126"/>
      <c r="K529" s="126"/>
      <c r="L529" s="126"/>
      <c r="M529" s="126"/>
      <c r="N529" s="126"/>
      <c r="O529" s="126"/>
      <c r="P529" s="126"/>
      <c r="Q529" s="126"/>
      <c r="R529" s="126"/>
      <c r="S529" s="126"/>
      <c r="T529" s="126"/>
      <c r="U529" s="126"/>
      <c r="V529" s="126"/>
      <c r="W529" s="126"/>
      <c r="X529" s="126"/>
      <c r="Y529" s="126"/>
      <c r="Z529" s="126"/>
      <c r="AA529" s="126"/>
      <c r="AB529" s="126"/>
      <c r="AC529" s="126"/>
      <c r="AD529" s="126"/>
      <c r="AE529" s="126"/>
      <c r="AF529" s="126"/>
      <c r="AG529" s="126"/>
      <c r="AH529" s="126"/>
      <c r="AI529" s="126"/>
      <c r="AJ529" s="126"/>
      <c r="AK529" s="126"/>
      <c r="AL529" s="126"/>
      <c r="AM529" s="126"/>
      <c r="AN529" s="126"/>
      <c r="AO529" s="126"/>
      <c r="AP529" s="126"/>
      <c r="AQ529" s="126"/>
      <c r="AR529" s="126"/>
      <c r="AS529" s="126"/>
      <c r="AT529" s="126"/>
      <c r="AU529" s="126"/>
      <c r="AV529" s="126"/>
      <c r="AW529" s="126"/>
      <c r="AX529" s="126"/>
      <c r="AY529" s="126"/>
      <c r="AZ529" s="126"/>
      <c r="BA529" s="126"/>
      <c r="BB529" s="126"/>
      <c r="BC529" s="126"/>
      <c r="BD529" s="126"/>
      <c r="BE529" s="126"/>
    </row>
    <row r="530" s="126" customFormat="1" spans="1:9">
      <c r="A530" s="181"/>
      <c r="B530" s="182" t="s">
        <v>410</v>
      </c>
      <c r="C530" s="183" t="s">
        <v>296</v>
      </c>
      <c r="D530" s="184">
        <v>1.65</v>
      </c>
      <c r="E530" s="185">
        <v>4.55</v>
      </c>
      <c r="F530" s="185">
        <v>0.14</v>
      </c>
      <c r="G530" s="183">
        <v>1</v>
      </c>
      <c r="H530" s="186">
        <f>G530*F530*E530*D530</f>
        <v>1.05105</v>
      </c>
      <c r="I530" s="220"/>
    </row>
    <row r="531" spans="1:9">
      <c r="A531" s="187"/>
      <c r="B531" s="187"/>
      <c r="C531" s="188"/>
      <c r="D531" s="189"/>
      <c r="E531" s="187"/>
      <c r="F531" s="187"/>
      <c r="G531" s="190"/>
      <c r="H531" s="191"/>
      <c r="I531" s="187"/>
    </row>
    <row r="532" s="125" customFormat="1" ht="51" spans="1:57">
      <c r="A532" s="175" t="s">
        <v>313</v>
      </c>
      <c r="B532" s="176" t="str">
        <f>VLOOKUP(A532,Planilha!$A$11:$I$39026,4,FALSE)</f>
        <v>Fornecimento, preparo e aplicação de concreto magro com consumo mínimo de cimento de 250 kg/m3 (brita 1 e 2) - (5% de perdas já incluído no custo)</v>
      </c>
      <c r="C532" s="177" t="str">
        <f>VLOOKUP($A532,Planilha!$A$11:$I$39026,5,FALSE)</f>
        <v>m³</v>
      </c>
      <c r="D532" s="178" t="s">
        <v>405</v>
      </c>
      <c r="E532" s="179" t="s">
        <v>406</v>
      </c>
      <c r="F532" s="179" t="s">
        <v>407</v>
      </c>
      <c r="G532" s="179" t="s">
        <v>408</v>
      </c>
      <c r="H532" s="180" t="s">
        <v>589</v>
      </c>
      <c r="I532" s="219">
        <f>SUM(H533:H534)</f>
        <v>0.41581</v>
      </c>
      <c r="J532" s="126"/>
      <c r="K532" s="126"/>
      <c r="L532" s="126"/>
      <c r="M532" s="126"/>
      <c r="N532" s="126"/>
      <c r="O532" s="126"/>
      <c r="P532" s="126"/>
      <c r="Q532" s="126"/>
      <c r="R532" s="126"/>
      <c r="S532" s="126"/>
      <c r="T532" s="126"/>
      <c r="U532" s="126"/>
      <c r="V532" s="126"/>
      <c r="W532" s="126"/>
      <c r="X532" s="126"/>
      <c r="Y532" s="126"/>
      <c r="Z532" s="126"/>
      <c r="AA532" s="126"/>
      <c r="AB532" s="126"/>
      <c r="AC532" s="126"/>
      <c r="AD532" s="126"/>
      <c r="AE532" s="126"/>
      <c r="AF532" s="126"/>
      <c r="AG532" s="126"/>
      <c r="AH532" s="126"/>
      <c r="AI532" s="126"/>
      <c r="AJ532" s="126"/>
      <c r="AK532" s="126"/>
      <c r="AL532" s="126"/>
      <c r="AM532" s="126"/>
      <c r="AN532" s="126"/>
      <c r="AO532" s="126"/>
      <c r="AP532" s="126"/>
      <c r="AQ532" s="126"/>
      <c r="AR532" s="126"/>
      <c r="AS532" s="126"/>
      <c r="AT532" s="126"/>
      <c r="AU532" s="126"/>
      <c r="AV532" s="126"/>
      <c r="AW532" s="126"/>
      <c r="AX532" s="126"/>
      <c r="AY532" s="126"/>
      <c r="AZ532" s="126"/>
      <c r="BA532" s="126"/>
      <c r="BB532" s="126"/>
      <c r="BC532" s="126"/>
      <c r="BD532" s="126"/>
      <c r="BE532" s="126"/>
    </row>
    <row r="533" s="126" customFormat="1" spans="1:9">
      <c r="A533" s="181"/>
      <c r="B533" s="182" t="s">
        <v>410</v>
      </c>
      <c r="C533" s="183" t="s">
        <v>584</v>
      </c>
      <c r="D533" s="184">
        <v>1.5</v>
      </c>
      <c r="E533" s="185">
        <v>1.35</v>
      </c>
      <c r="F533" s="185">
        <v>0.05</v>
      </c>
      <c r="G533" s="183">
        <v>3</v>
      </c>
      <c r="H533" s="186">
        <f t="shared" ref="H533:H539" si="32">G533*F533*E533*D533</f>
        <v>0.30375</v>
      </c>
      <c r="I533" s="220"/>
    </row>
    <row r="534" spans="1:9">
      <c r="A534" s="187"/>
      <c r="B534" s="187"/>
      <c r="C534" s="188" t="s">
        <v>585</v>
      </c>
      <c r="D534" s="189">
        <f>(1.32-0.6)*3+(4.55-2.4)</f>
        <v>4.31</v>
      </c>
      <c r="E534" s="187">
        <v>0.52</v>
      </c>
      <c r="F534" s="187">
        <v>0.05</v>
      </c>
      <c r="G534" s="190">
        <v>1</v>
      </c>
      <c r="H534" s="186">
        <f t="shared" si="32"/>
        <v>0.11206</v>
      </c>
      <c r="I534" s="187"/>
    </row>
    <row r="535" spans="1:9">
      <c r="A535" s="187"/>
      <c r="B535" s="187"/>
      <c r="C535" s="188"/>
      <c r="D535" s="189"/>
      <c r="E535" s="187"/>
      <c r="F535" s="187"/>
      <c r="G535" s="190"/>
      <c r="H535" s="191"/>
      <c r="I535" s="187"/>
    </row>
    <row r="536" s="125" customFormat="1" ht="38.25" spans="1:57">
      <c r="A536" s="175" t="s">
        <v>314</v>
      </c>
      <c r="B536" s="176" t="str">
        <f>VLOOKUP(A536,Planilha!$A$11:$I$39026,4,FALSE)</f>
        <v>Fornecimento, preparo e aplicação de concreto Fck=25 MPa (brita 1 e 2) - (5% de perdas já incluído no custo)</v>
      </c>
      <c r="C536" s="177" t="str">
        <f>VLOOKUP($A536,Planilha!$A$11:$I$39026,5,FALSE)</f>
        <v>m³</v>
      </c>
      <c r="D536" s="178" t="s">
        <v>405</v>
      </c>
      <c r="E536" s="179" t="s">
        <v>406</v>
      </c>
      <c r="F536" s="179" t="s">
        <v>407</v>
      </c>
      <c r="G536" s="179" t="s">
        <v>408</v>
      </c>
      <c r="H536" s="180" t="s">
        <v>589</v>
      </c>
      <c r="I536" s="219">
        <f>SUM(H537:H539)</f>
        <v>1.44912</v>
      </c>
      <c r="J536" s="126"/>
      <c r="K536" s="126"/>
      <c r="L536" s="126"/>
      <c r="M536" s="126"/>
      <c r="N536" s="126"/>
      <c r="O536" s="126"/>
      <c r="P536" s="126"/>
      <c r="Q536" s="126"/>
      <c r="R536" s="126"/>
      <c r="S536" s="126"/>
      <c r="T536" s="126"/>
      <c r="U536" s="126"/>
      <c r="V536" s="126"/>
      <c r="W536" s="126"/>
      <c r="X536" s="126"/>
      <c r="Y536" s="126"/>
      <c r="Z536" s="126"/>
      <c r="AA536" s="126"/>
      <c r="AB536" s="126"/>
      <c r="AC536" s="126"/>
      <c r="AD536" s="126"/>
      <c r="AE536" s="126"/>
      <c r="AF536" s="126"/>
      <c r="AG536" s="126"/>
      <c r="AH536" s="126"/>
      <c r="AI536" s="126"/>
      <c r="AJ536" s="126"/>
      <c r="AK536" s="126"/>
      <c r="AL536" s="126"/>
      <c r="AM536" s="126"/>
      <c r="AN536" s="126"/>
      <c r="AO536" s="126"/>
      <c r="AP536" s="126"/>
      <c r="AQ536" s="126"/>
      <c r="AR536" s="126"/>
      <c r="AS536" s="126"/>
      <c r="AT536" s="126"/>
      <c r="AU536" s="126"/>
      <c r="AV536" s="126"/>
      <c r="AW536" s="126"/>
      <c r="AX536" s="126"/>
      <c r="AY536" s="126"/>
      <c r="AZ536" s="126"/>
      <c r="BA536" s="126"/>
      <c r="BB536" s="126"/>
      <c r="BC536" s="126"/>
      <c r="BD536" s="126"/>
      <c r="BE536" s="126"/>
    </row>
    <row r="537" s="126" customFormat="1" spans="1:9">
      <c r="A537" s="181"/>
      <c r="B537" s="182" t="s">
        <v>410</v>
      </c>
      <c r="C537" s="183" t="s">
        <v>586</v>
      </c>
      <c r="D537" s="189">
        <v>0.95</v>
      </c>
      <c r="E537" s="187">
        <v>1.1</v>
      </c>
      <c r="F537" s="187">
        <v>0.3</v>
      </c>
      <c r="G537" s="190">
        <v>3</v>
      </c>
      <c r="H537" s="186">
        <f t="shared" si="32"/>
        <v>0.9405</v>
      </c>
      <c r="I537" s="220"/>
    </row>
    <row r="538" spans="1:9">
      <c r="A538" s="187"/>
      <c r="B538" s="187"/>
      <c r="C538" s="188" t="s">
        <v>587</v>
      </c>
      <c r="D538" s="189">
        <f>(1.32)*3+(4.55)</f>
        <v>8.51</v>
      </c>
      <c r="E538" s="187">
        <v>0.14</v>
      </c>
      <c r="F538" s="187">
        <v>0.3</v>
      </c>
      <c r="G538" s="190">
        <v>1</v>
      </c>
      <c r="H538" s="186">
        <f t="shared" si="32"/>
        <v>0.35742</v>
      </c>
      <c r="I538" s="187"/>
    </row>
    <row r="539" spans="1:9">
      <c r="A539" s="187"/>
      <c r="B539" s="187"/>
      <c r="C539" s="188" t="s">
        <v>588</v>
      </c>
      <c r="D539" s="189">
        <v>0.14</v>
      </c>
      <c r="E539" s="187">
        <v>0.3</v>
      </c>
      <c r="F539" s="187">
        <v>1.2</v>
      </c>
      <c r="G539" s="190">
        <v>3</v>
      </c>
      <c r="H539" s="186">
        <f t="shared" si="32"/>
        <v>0.1512</v>
      </c>
      <c r="I539" s="187"/>
    </row>
    <row r="540" spans="1:9">
      <c r="A540" s="187"/>
      <c r="B540" s="187"/>
      <c r="C540" s="188"/>
      <c r="D540" s="189"/>
      <c r="E540" s="187"/>
      <c r="F540" s="187"/>
      <c r="G540" s="190"/>
      <c r="H540" s="191"/>
      <c r="I540" s="187"/>
    </row>
    <row r="541" s="125" customFormat="1" ht="38.25" spans="1:57">
      <c r="A541" s="175" t="s">
        <v>315</v>
      </c>
      <c r="B541" s="176" t="str">
        <f>VLOOKUP(A541,Planilha!$A$11:$I$39026,4,FALSE)</f>
        <v>Fornecimento, dobragem e colocação em fôrma, de armadura CA-50 A média, diâmetro de 6.3 a 10.0 mm</v>
      </c>
      <c r="C541" s="177" t="str">
        <f>VLOOKUP($A541,Planilha!$A$11:$I$39026,5,FALSE)</f>
        <v>Kg</v>
      </c>
      <c r="D541" s="178" t="s">
        <v>563</v>
      </c>
      <c r="E541" s="179"/>
      <c r="F541" s="179" t="s">
        <v>570</v>
      </c>
      <c r="G541" s="179" t="s">
        <v>408</v>
      </c>
      <c r="H541" s="180" t="s">
        <v>411</v>
      </c>
      <c r="I541" s="219">
        <f>SUM(H542:H545)</f>
        <v>65.71265</v>
      </c>
      <c r="J541" s="126"/>
      <c r="K541" s="126"/>
      <c r="L541" s="126"/>
      <c r="M541" s="126"/>
      <c r="N541" s="126"/>
      <c r="O541" s="126"/>
      <c r="P541" s="126"/>
      <c r="Q541" s="126"/>
      <c r="R541" s="126"/>
      <c r="S541" s="126"/>
      <c r="T541" s="126"/>
      <c r="U541" s="126"/>
      <c r="V541" s="126"/>
      <c r="W541" s="126"/>
      <c r="X541" s="126"/>
      <c r="Y541" s="126"/>
      <c r="Z541" s="126"/>
      <c r="AA541" s="126"/>
      <c r="AB541" s="126"/>
      <c r="AC541" s="126"/>
      <c r="AD541" s="126"/>
      <c r="AE541" s="126"/>
      <c r="AF541" s="126"/>
      <c r="AG541" s="126"/>
      <c r="AH541" s="126"/>
      <c r="AI541" s="126"/>
      <c r="AJ541" s="126"/>
      <c r="AK541" s="126"/>
      <c r="AL541" s="126"/>
      <c r="AM541" s="126"/>
      <c r="AN541" s="126"/>
      <c r="AO541" s="126"/>
      <c r="AP541" s="126"/>
      <c r="AQ541" s="126"/>
      <c r="AR541" s="126"/>
      <c r="AS541" s="126"/>
      <c r="AT541" s="126"/>
      <c r="AU541" s="126"/>
      <c r="AV541" s="126"/>
      <c r="AW541" s="126"/>
      <c r="AX541" s="126"/>
      <c r="AY541" s="126"/>
      <c r="AZ541" s="126"/>
      <c r="BA541" s="126"/>
      <c r="BB541" s="126"/>
      <c r="BC541" s="126"/>
      <c r="BD541" s="126"/>
      <c r="BE541" s="126"/>
    </row>
    <row r="542" s="126" customFormat="1" spans="1:9">
      <c r="A542" s="181"/>
      <c r="B542" s="182" t="s">
        <v>410</v>
      </c>
      <c r="C542" s="183" t="s">
        <v>590</v>
      </c>
      <c r="D542" s="275">
        <v>0.617</v>
      </c>
      <c r="E542" s="187"/>
      <c r="F542" s="187">
        <f>(7*1.35)+(6*1.52)</f>
        <v>18.57</v>
      </c>
      <c r="G542" s="190">
        <v>3</v>
      </c>
      <c r="H542" s="186">
        <f t="shared" ref="H542:H545" si="33">G542*F542*D542</f>
        <v>34.37307</v>
      </c>
      <c r="I542" s="220"/>
    </row>
    <row r="543" spans="1:9">
      <c r="A543" s="187"/>
      <c r="B543" s="187"/>
      <c r="C543" s="188" t="s">
        <v>591</v>
      </c>
      <c r="D543" s="275">
        <v>0.395</v>
      </c>
      <c r="E543" s="187"/>
      <c r="F543" s="187">
        <f>(2*2.07)+(2*1.52)</f>
        <v>7.18</v>
      </c>
      <c r="G543" s="190">
        <v>3</v>
      </c>
      <c r="H543" s="186">
        <f t="shared" si="33"/>
        <v>8.5083</v>
      </c>
      <c r="I543" s="187"/>
    </row>
    <row r="544" spans="1:9">
      <c r="A544" s="187"/>
      <c r="B544" s="187"/>
      <c r="C544" s="188" t="s">
        <v>592</v>
      </c>
      <c r="D544" s="275">
        <v>0.395</v>
      </c>
      <c r="E544" s="187"/>
      <c r="F544" s="187">
        <v>19</v>
      </c>
      <c r="G544" s="190">
        <v>1</v>
      </c>
      <c r="H544" s="186">
        <f t="shared" si="33"/>
        <v>7.505</v>
      </c>
      <c r="I544" s="187"/>
    </row>
    <row r="545" spans="1:9">
      <c r="A545" s="187"/>
      <c r="B545" s="187"/>
      <c r="C545" s="188" t="s">
        <v>593</v>
      </c>
      <c r="D545" s="275">
        <v>0.617</v>
      </c>
      <c r="E545" s="187"/>
      <c r="F545" s="187">
        <v>8.28</v>
      </c>
      <c r="G545" s="190">
        <v>3</v>
      </c>
      <c r="H545" s="186">
        <f t="shared" si="33"/>
        <v>15.32628</v>
      </c>
      <c r="I545" s="187"/>
    </row>
    <row r="546" spans="1:9">
      <c r="A546" s="187"/>
      <c r="B546" s="187"/>
      <c r="C546" s="188"/>
      <c r="D546" s="189"/>
      <c r="E546" s="187"/>
      <c r="F546" s="187"/>
      <c r="G546" s="190"/>
      <c r="H546" s="191"/>
      <c r="I546" s="187"/>
    </row>
    <row r="547" s="125" customFormat="1" ht="38.25" spans="1:57">
      <c r="A547" s="175" t="s">
        <v>316</v>
      </c>
      <c r="B547" s="176" t="str">
        <f>VLOOKUP(A547,Planilha!$A$11:$I$39026,4,FALSE)</f>
        <v>Fornecimento, dobragem e colocação em fôrma, de armadura CA-60 B fina, diâmetro de 4.0 a 7.0mm</v>
      </c>
      <c r="C547" s="177" t="str">
        <f>VLOOKUP($A547,Planilha!$A$11:$I$39026,5,FALSE)</f>
        <v>Kg</v>
      </c>
      <c r="D547" s="178" t="s">
        <v>563</v>
      </c>
      <c r="E547" s="179"/>
      <c r="F547" s="179" t="s">
        <v>570</v>
      </c>
      <c r="G547" s="179" t="s">
        <v>408</v>
      </c>
      <c r="H547" s="180" t="s">
        <v>411</v>
      </c>
      <c r="I547" s="219">
        <f>SUM(H548:H550)</f>
        <v>11.17116</v>
      </c>
      <c r="J547" s="126"/>
      <c r="K547" s="126"/>
      <c r="L547" s="126"/>
      <c r="M547" s="126"/>
      <c r="N547" s="126"/>
      <c r="O547" s="126"/>
      <c r="P547" s="126"/>
      <c r="Q547" s="126"/>
      <c r="R547" s="126"/>
      <c r="S547" s="126"/>
      <c r="T547" s="126"/>
      <c r="U547" s="126"/>
      <c r="V547" s="126"/>
      <c r="W547" s="126"/>
      <c r="X547" s="126"/>
      <c r="Y547" s="126"/>
      <c r="Z547" s="126"/>
      <c r="AA547" s="126"/>
      <c r="AB547" s="126"/>
      <c r="AC547" s="126"/>
      <c r="AD547" s="126"/>
      <c r="AE547" s="126"/>
      <c r="AF547" s="126"/>
      <c r="AG547" s="126"/>
      <c r="AH547" s="126"/>
      <c r="AI547" s="126"/>
      <c r="AJ547" s="126"/>
      <c r="AK547" s="126"/>
      <c r="AL547" s="126"/>
      <c r="AM547" s="126"/>
      <c r="AN547" s="126"/>
      <c r="AO547" s="126"/>
      <c r="AP547" s="126"/>
      <c r="AQ547" s="126"/>
      <c r="AR547" s="126"/>
      <c r="AS547" s="126"/>
      <c r="AT547" s="126"/>
      <c r="AU547" s="126"/>
      <c r="AV547" s="126"/>
      <c r="AW547" s="126"/>
      <c r="AX547" s="126"/>
      <c r="AY547" s="126"/>
      <c r="AZ547" s="126"/>
      <c r="BA547" s="126"/>
      <c r="BB547" s="126"/>
      <c r="BC547" s="126"/>
      <c r="BD547" s="126"/>
      <c r="BE547" s="126"/>
    </row>
    <row r="548" spans="1:9">
      <c r="A548" s="187"/>
      <c r="B548" s="187"/>
      <c r="C548" s="188" t="s">
        <v>594</v>
      </c>
      <c r="D548" s="275">
        <v>0.154</v>
      </c>
      <c r="E548" s="187"/>
      <c r="F548" s="187">
        <f>9*0.78</f>
        <v>7.02</v>
      </c>
      <c r="G548" s="190">
        <v>3</v>
      </c>
      <c r="H548" s="186">
        <f>G548*F548*D548</f>
        <v>3.24324</v>
      </c>
      <c r="I548" s="187"/>
    </row>
    <row r="549" spans="1:9">
      <c r="A549" s="187"/>
      <c r="B549" s="187"/>
      <c r="C549" s="188" t="s">
        <v>595</v>
      </c>
      <c r="D549" s="275">
        <v>0.154</v>
      </c>
      <c r="E549" s="187"/>
      <c r="F549" s="187">
        <v>21.06</v>
      </c>
      <c r="G549" s="190">
        <v>1</v>
      </c>
      <c r="H549" s="186">
        <f>G549*F549*D549</f>
        <v>3.24324</v>
      </c>
      <c r="I549" s="187"/>
    </row>
    <row r="550" spans="1:9">
      <c r="A550" s="187"/>
      <c r="B550" s="187"/>
      <c r="C550" s="188" t="s">
        <v>596</v>
      </c>
      <c r="D550" s="275">
        <v>0.154</v>
      </c>
      <c r="E550" s="187"/>
      <c r="F550" s="187">
        <f>13*0.78</f>
        <v>10.14</v>
      </c>
      <c r="G550" s="190">
        <v>3</v>
      </c>
      <c r="H550" s="186">
        <f>G550*F550*D550</f>
        <v>4.68468</v>
      </c>
      <c r="I550" s="187"/>
    </row>
    <row r="551" spans="1:9">
      <c r="A551" s="187"/>
      <c r="B551" s="187"/>
      <c r="C551" s="188"/>
      <c r="D551" s="189"/>
      <c r="E551" s="187"/>
      <c r="F551" s="187"/>
      <c r="G551" s="190"/>
      <c r="H551" s="191"/>
      <c r="I551" s="187"/>
    </row>
    <row r="552" s="125" customFormat="1" ht="51" spans="1:57">
      <c r="A552" s="175" t="s">
        <v>317</v>
      </c>
      <c r="B552" s="176" t="str">
        <f>VLOOKUP(A552,Planilha!$A$11:$I$39026,4,FALSE)</f>
        <v>Fôrma de tábua de madeira de 2.5x30.0cm, levando-se em conta utilização 1 vez (incluindo o material, corte, montagem, escoramento e desforma)</v>
      </c>
      <c r="C552" s="177" t="str">
        <f>VLOOKUP($A552,Planilha!$A$11:$I$39026,5,FALSE)</f>
        <v>m²</v>
      </c>
      <c r="D552" s="178" t="s">
        <v>405</v>
      </c>
      <c r="E552" s="179" t="s">
        <v>406</v>
      </c>
      <c r="F552" s="179" t="s">
        <v>407</v>
      </c>
      <c r="G552" s="179" t="s">
        <v>408</v>
      </c>
      <c r="H552" s="180" t="s">
        <v>409</v>
      </c>
      <c r="I552" s="219">
        <f>SUM(H553:H555)</f>
        <v>11.964</v>
      </c>
      <c r="J552" s="126"/>
      <c r="K552" s="126"/>
      <c r="L552" s="126"/>
      <c r="M552" s="126"/>
      <c r="N552" s="126"/>
      <c r="O552" s="126"/>
      <c r="P552" s="126"/>
      <c r="Q552" s="126"/>
      <c r="R552" s="126"/>
      <c r="S552" s="126"/>
      <c r="T552" s="126"/>
      <c r="U552" s="126"/>
      <c r="V552" s="126"/>
      <c r="W552" s="126"/>
      <c r="X552" s="126"/>
      <c r="Y552" s="126"/>
      <c r="Z552" s="126"/>
      <c r="AA552" s="126"/>
      <c r="AB552" s="126"/>
      <c r="AC552" s="126"/>
      <c r="AD552" s="126"/>
      <c r="AE552" s="126"/>
      <c r="AF552" s="126"/>
      <c r="AG552" s="126"/>
      <c r="AH552" s="126"/>
      <c r="AI552" s="126"/>
      <c r="AJ552" s="126"/>
      <c r="AK552" s="126"/>
      <c r="AL552" s="126"/>
      <c r="AM552" s="126"/>
      <c r="AN552" s="126"/>
      <c r="AO552" s="126"/>
      <c r="AP552" s="126"/>
      <c r="AQ552" s="126"/>
      <c r="AR552" s="126"/>
      <c r="AS552" s="126"/>
      <c r="AT552" s="126"/>
      <c r="AU552" s="126"/>
      <c r="AV552" s="126"/>
      <c r="AW552" s="126"/>
      <c r="AX552" s="126"/>
      <c r="AY552" s="126"/>
      <c r="AZ552" s="126"/>
      <c r="BA552" s="126"/>
      <c r="BB552" s="126"/>
      <c r="BC552" s="126"/>
      <c r="BD552" s="126"/>
      <c r="BE552" s="126"/>
    </row>
    <row r="553" spans="1:9">
      <c r="A553" s="187"/>
      <c r="B553" s="187"/>
      <c r="C553" s="183" t="s">
        <v>586</v>
      </c>
      <c r="D553" s="189">
        <v>0.95</v>
      </c>
      <c r="E553" s="187">
        <v>1.1</v>
      </c>
      <c r="F553" s="187">
        <v>0.3</v>
      </c>
      <c r="G553" s="190">
        <v>3</v>
      </c>
      <c r="H553" s="186">
        <f>(D553*F553*2+E553*F553*2)*G553</f>
        <v>3.69</v>
      </c>
      <c r="I553" s="187"/>
    </row>
    <row r="554" spans="1:9">
      <c r="A554" s="187"/>
      <c r="B554" s="187"/>
      <c r="C554" s="188" t="s">
        <v>587</v>
      </c>
      <c r="D554" s="189">
        <v>8.51</v>
      </c>
      <c r="E554" s="187">
        <v>0.14</v>
      </c>
      <c r="F554" s="187">
        <v>0.3</v>
      </c>
      <c r="G554" s="190">
        <v>1</v>
      </c>
      <c r="H554" s="186">
        <f>(D554*F554*2)*G554</f>
        <v>5.106</v>
      </c>
      <c r="I554" s="187"/>
    </row>
    <row r="555" spans="1:9">
      <c r="A555" s="187"/>
      <c r="B555" s="187"/>
      <c r="C555" s="188" t="s">
        <v>588</v>
      </c>
      <c r="D555" s="189">
        <v>0.14</v>
      </c>
      <c r="E555" s="187">
        <v>0.3</v>
      </c>
      <c r="F555" s="187">
        <v>1.2</v>
      </c>
      <c r="G555" s="190">
        <v>3</v>
      </c>
      <c r="H555" s="186">
        <f>(D555*F555*2+E555*F555*2)*G555</f>
        <v>3.168</v>
      </c>
      <c r="I555" s="187"/>
    </row>
    <row r="556" spans="1:9">
      <c r="A556" s="187"/>
      <c r="B556" s="187"/>
      <c r="C556" s="188"/>
      <c r="D556" s="189"/>
      <c r="E556" s="187"/>
      <c r="F556" s="187"/>
      <c r="G556" s="190"/>
      <c r="H556" s="191"/>
      <c r="I556" s="187"/>
    </row>
    <row r="557" s="125" customFormat="1" ht="38.25" spans="1:57">
      <c r="A557" s="175" t="s">
        <v>321</v>
      </c>
      <c r="B557" s="176" t="str">
        <f>VLOOKUP(A557,Planilha!$A$11:$I$39026,4,FALSE)</f>
        <v>Fornecimento, preparo e aplicação de concreto Fck=25 MPa (brita 1 e 2) - (5% de perdas já incluído no custo)</v>
      </c>
      <c r="C557" s="177" t="str">
        <f>VLOOKUP($A557,Planilha!$A$11:$I$39026,5,FALSE)</f>
        <v>m³</v>
      </c>
      <c r="D557" s="178" t="s">
        <v>405</v>
      </c>
      <c r="E557" s="179" t="s">
        <v>406</v>
      </c>
      <c r="F557" s="179" t="s">
        <v>407</v>
      </c>
      <c r="G557" s="179" t="s">
        <v>408</v>
      </c>
      <c r="H557" s="180" t="s">
        <v>589</v>
      </c>
      <c r="I557" s="219">
        <f>SUM(H558:H560)</f>
        <v>0.79842</v>
      </c>
      <c r="J557" s="126"/>
      <c r="K557" s="126"/>
      <c r="L557" s="126"/>
      <c r="M557" s="126"/>
      <c r="N557" s="126"/>
      <c r="O557" s="126"/>
      <c r="P557" s="126"/>
      <c r="Q557" s="126"/>
      <c r="R557" s="126"/>
      <c r="S557" s="126"/>
      <c r="T557" s="126"/>
      <c r="U557" s="126"/>
      <c r="V557" s="126"/>
      <c r="W557" s="126"/>
      <c r="X557" s="126"/>
      <c r="Y557" s="126"/>
      <c r="Z557" s="126"/>
      <c r="AA557" s="126"/>
      <c r="AB557" s="126"/>
      <c r="AC557" s="126"/>
      <c r="AD557" s="126"/>
      <c r="AE557" s="126"/>
      <c r="AF557" s="126"/>
      <c r="AG557" s="126"/>
      <c r="AH557" s="126"/>
      <c r="AI557" s="126"/>
      <c r="AJ557" s="126"/>
      <c r="AK557" s="126"/>
      <c r="AL557" s="126"/>
      <c r="AM557" s="126"/>
      <c r="AN557" s="126"/>
      <c r="AO557" s="126"/>
      <c r="AP557" s="126"/>
      <c r="AQ557" s="126"/>
      <c r="AR557" s="126"/>
      <c r="AS557" s="126"/>
      <c r="AT557" s="126"/>
      <c r="AU557" s="126"/>
      <c r="AV557" s="126"/>
      <c r="AW557" s="126"/>
      <c r="AX557" s="126"/>
      <c r="AY557" s="126"/>
      <c r="AZ557" s="126"/>
      <c r="BA557" s="126"/>
      <c r="BB557" s="126"/>
      <c r="BC557" s="126"/>
      <c r="BD557" s="126"/>
      <c r="BE557" s="126"/>
    </row>
    <row r="558" spans="1:9">
      <c r="A558" s="187"/>
      <c r="B558" s="187"/>
      <c r="C558" s="188" t="s">
        <v>597</v>
      </c>
      <c r="D558" s="189">
        <v>1.62</v>
      </c>
      <c r="E558" s="187">
        <v>0.14</v>
      </c>
      <c r="F558" s="187">
        <v>0.3</v>
      </c>
      <c r="G558" s="190">
        <v>3</v>
      </c>
      <c r="H558" s="186">
        <f>G558*F558*E558*D558</f>
        <v>0.20412</v>
      </c>
      <c r="I558" s="187"/>
    </row>
    <row r="559" spans="1:9">
      <c r="A559" s="187"/>
      <c r="B559" s="187"/>
      <c r="C559" s="188" t="s">
        <v>598</v>
      </c>
      <c r="D559" s="189">
        <v>4.55</v>
      </c>
      <c r="E559" s="187">
        <v>0.14</v>
      </c>
      <c r="F559" s="187">
        <v>0.3</v>
      </c>
      <c r="G559" s="190">
        <v>1</v>
      </c>
      <c r="H559" s="186">
        <f>G559*F559*E559*D559</f>
        <v>0.1911</v>
      </c>
      <c r="I559" s="187"/>
    </row>
    <row r="560" spans="1:9">
      <c r="A560" s="187"/>
      <c r="B560" s="187"/>
      <c r="C560" s="188" t="s">
        <v>599</v>
      </c>
      <c r="D560" s="189">
        <v>0.14</v>
      </c>
      <c r="E560" s="187">
        <v>0.3</v>
      </c>
      <c r="F560" s="187">
        <v>3.2</v>
      </c>
      <c r="G560" s="190">
        <v>3</v>
      </c>
      <c r="H560" s="186">
        <f>G560*F560*E560*D560</f>
        <v>0.4032</v>
      </c>
      <c r="I560" s="187"/>
    </row>
    <row r="561" spans="1:9">
      <c r="A561" s="187"/>
      <c r="B561" s="187"/>
      <c r="C561" s="188"/>
      <c r="D561" s="189"/>
      <c r="E561" s="187"/>
      <c r="F561" s="187"/>
      <c r="G561" s="190"/>
      <c r="H561" s="191"/>
      <c r="I561" s="187"/>
    </row>
    <row r="562" s="125" customFormat="1" ht="38.25" spans="1:57">
      <c r="A562" s="175" t="s">
        <v>322</v>
      </c>
      <c r="B562" s="176" t="str">
        <f>VLOOKUP(A562,Planilha!$A$11:$I$39026,4,FALSE)</f>
        <v>Fornecimento, dobragem e colocação em fôrma, de armadura CA-50 A média, diâmetro de 6.3 a 10.0 mm</v>
      </c>
      <c r="C562" s="177" t="str">
        <f>VLOOKUP($A562,Planilha!$A$11:$I$39026,5,FALSE)</f>
        <v>Kg</v>
      </c>
      <c r="D562" s="178" t="s">
        <v>563</v>
      </c>
      <c r="E562" s="179"/>
      <c r="F562" s="179" t="s">
        <v>570</v>
      </c>
      <c r="G562" s="179" t="s">
        <v>408</v>
      </c>
      <c r="H562" s="180" t="s">
        <v>600</v>
      </c>
      <c r="I562" s="219">
        <f>SUM(H563:H565)</f>
        <v>39.7061</v>
      </c>
      <c r="J562" s="126"/>
      <c r="K562" s="126"/>
      <c r="L562" s="126"/>
      <c r="M562" s="126"/>
      <c r="N562" s="126"/>
      <c r="O562" s="126"/>
      <c r="P562" s="126"/>
      <c r="Q562" s="126"/>
      <c r="R562" s="126"/>
      <c r="S562" s="126"/>
      <c r="T562" s="126"/>
      <c r="U562" s="126"/>
      <c r="V562" s="126"/>
      <c r="W562" s="126"/>
      <c r="X562" s="126"/>
      <c r="Y562" s="126"/>
      <c r="Z562" s="126"/>
      <c r="AA562" s="126"/>
      <c r="AB562" s="126"/>
      <c r="AC562" s="126"/>
      <c r="AD562" s="126"/>
      <c r="AE562" s="126"/>
      <c r="AF562" s="126"/>
      <c r="AG562" s="126"/>
      <c r="AH562" s="126"/>
      <c r="AI562" s="126"/>
      <c r="AJ562" s="126"/>
      <c r="AK562" s="126"/>
      <c r="AL562" s="126"/>
      <c r="AM562" s="126"/>
      <c r="AN562" s="126"/>
      <c r="AO562" s="126"/>
      <c r="AP562" s="126"/>
      <c r="AQ562" s="126"/>
      <c r="AR562" s="126"/>
      <c r="AS562" s="126"/>
      <c r="AT562" s="126"/>
      <c r="AU562" s="126"/>
      <c r="AV562" s="126"/>
      <c r="AW562" s="126"/>
      <c r="AX562" s="126"/>
      <c r="AY562" s="126"/>
      <c r="AZ562" s="126"/>
      <c r="BA562" s="126"/>
      <c r="BB562" s="126"/>
      <c r="BC562" s="126"/>
      <c r="BD562" s="126"/>
      <c r="BE562" s="126"/>
    </row>
    <row r="563" spans="1:9">
      <c r="A563" s="187"/>
      <c r="B563" s="187"/>
      <c r="C563" s="188" t="s">
        <v>597</v>
      </c>
      <c r="D563" s="276">
        <v>0.395</v>
      </c>
      <c r="E563" s="187"/>
      <c r="F563" s="187">
        <f>2*2.07+2*1.52</f>
        <v>7.18</v>
      </c>
      <c r="G563" s="190">
        <v>3</v>
      </c>
      <c r="H563" s="186">
        <f>G563*F563*D563</f>
        <v>8.5083</v>
      </c>
      <c r="I563" s="187"/>
    </row>
    <row r="564" spans="1:9">
      <c r="A564" s="187"/>
      <c r="B564" s="187"/>
      <c r="C564" s="188" t="s">
        <v>598</v>
      </c>
      <c r="D564" s="276">
        <v>0.395</v>
      </c>
      <c r="E564" s="187"/>
      <c r="F564" s="187">
        <f>2*4.5+2*5</f>
        <v>19</v>
      </c>
      <c r="G564" s="190">
        <v>1</v>
      </c>
      <c r="H564" s="186">
        <f>G564*F564*D564</f>
        <v>7.505</v>
      </c>
      <c r="I564" s="187"/>
    </row>
    <row r="565" spans="1:9">
      <c r="A565" s="187"/>
      <c r="B565" s="187"/>
      <c r="C565" s="188" t="s">
        <v>599</v>
      </c>
      <c r="D565" s="276">
        <v>0.617</v>
      </c>
      <c r="E565" s="187"/>
      <c r="F565" s="187">
        <f>4*3.2</f>
        <v>12.8</v>
      </c>
      <c r="G565" s="190">
        <v>3</v>
      </c>
      <c r="H565" s="186">
        <f>G565*F565*D565</f>
        <v>23.6928</v>
      </c>
      <c r="I565" s="187"/>
    </row>
    <row r="566" spans="1:9">
      <c r="A566" s="187"/>
      <c r="B566" s="187"/>
      <c r="C566" s="188"/>
      <c r="D566" s="189"/>
      <c r="E566" s="187"/>
      <c r="F566" s="187"/>
      <c r="G566" s="190"/>
      <c r="H566" s="191"/>
      <c r="I566" s="187"/>
    </row>
    <row r="567" s="125" customFormat="1" ht="38.25" spans="1:57">
      <c r="A567" s="175" t="s">
        <v>323</v>
      </c>
      <c r="B567" s="176" t="str">
        <f>VLOOKUP(A567,Planilha!$A$11:$I$39026,4,FALSE)</f>
        <v>Fornecimento, dobragem e colocação em fôrma, de armadura CA-60 B fina, diâmetro de 4.0 a 7.0mm</v>
      </c>
      <c r="C567" s="177" t="str">
        <f>VLOOKUP($A567,Planilha!$A$11:$I$39026,5,FALSE)</f>
        <v>Kg</v>
      </c>
      <c r="D567" s="178" t="s">
        <v>563</v>
      </c>
      <c r="E567" s="179"/>
      <c r="F567" s="179" t="s">
        <v>570</v>
      </c>
      <c r="G567" s="179" t="s">
        <v>408</v>
      </c>
      <c r="H567" s="180" t="s">
        <v>600</v>
      </c>
      <c r="I567" s="219">
        <f>SUM(H568:H570)</f>
        <v>16.29012</v>
      </c>
      <c r="J567" s="126"/>
      <c r="K567" s="126"/>
      <c r="L567" s="126"/>
      <c r="M567" s="126"/>
      <c r="N567" s="126"/>
      <c r="O567" s="126"/>
      <c r="P567" s="126"/>
      <c r="Q567" s="126"/>
      <c r="R567" s="126"/>
      <c r="S567" s="126"/>
      <c r="T567" s="126"/>
      <c r="U567" s="126"/>
      <c r="V567" s="126"/>
      <c r="W567" s="126"/>
      <c r="X567" s="126"/>
      <c r="Y567" s="126"/>
      <c r="Z567" s="126"/>
      <c r="AA567" s="126"/>
      <c r="AB567" s="126"/>
      <c r="AC567" s="126"/>
      <c r="AD567" s="126"/>
      <c r="AE567" s="126"/>
      <c r="AF567" s="126"/>
      <c r="AG567" s="126"/>
      <c r="AH567" s="126"/>
      <c r="AI567" s="126"/>
      <c r="AJ567" s="126"/>
      <c r="AK567" s="126"/>
      <c r="AL567" s="126"/>
      <c r="AM567" s="126"/>
      <c r="AN567" s="126"/>
      <c r="AO567" s="126"/>
      <c r="AP567" s="126"/>
      <c r="AQ567" s="126"/>
      <c r="AR567" s="126"/>
      <c r="AS567" s="126"/>
      <c r="AT567" s="126"/>
      <c r="AU567" s="126"/>
      <c r="AV567" s="126"/>
      <c r="AW567" s="126"/>
      <c r="AX567" s="126"/>
      <c r="AY567" s="126"/>
      <c r="AZ567" s="126"/>
      <c r="BA567" s="126"/>
      <c r="BB567" s="126"/>
      <c r="BC567" s="126"/>
      <c r="BD567" s="126"/>
      <c r="BE567" s="126"/>
    </row>
    <row r="568" spans="1:9">
      <c r="A568" s="187"/>
      <c r="B568" s="187"/>
      <c r="C568" s="188" t="s">
        <v>597</v>
      </c>
      <c r="D568" s="276">
        <v>0.154</v>
      </c>
      <c r="E568" s="187"/>
      <c r="F568" s="187">
        <f>9*0.82</f>
        <v>7.38</v>
      </c>
      <c r="G568" s="190">
        <v>3</v>
      </c>
      <c r="H568" s="186">
        <f>G568*F568*D568</f>
        <v>3.40956</v>
      </c>
      <c r="I568" s="187"/>
    </row>
    <row r="569" spans="1:9">
      <c r="A569" s="187"/>
      <c r="B569" s="187"/>
      <c r="C569" s="188" t="s">
        <v>598</v>
      </c>
      <c r="D569" s="276">
        <v>0.154</v>
      </c>
      <c r="E569" s="187"/>
      <c r="F569" s="187">
        <f>27*0.82</f>
        <v>22.14</v>
      </c>
      <c r="G569" s="190">
        <v>1</v>
      </c>
      <c r="H569" s="186">
        <f>G569*F569*D569</f>
        <v>3.40956</v>
      </c>
      <c r="I569" s="187"/>
    </row>
    <row r="570" spans="1:9">
      <c r="A570" s="187"/>
      <c r="B570" s="187"/>
      <c r="C570" s="188" t="s">
        <v>599</v>
      </c>
      <c r="D570" s="276">
        <v>0.154</v>
      </c>
      <c r="E570" s="187"/>
      <c r="F570" s="187">
        <f>25*0.82</f>
        <v>20.5</v>
      </c>
      <c r="G570" s="190">
        <v>3</v>
      </c>
      <c r="H570" s="186">
        <f>G570*F570*D570</f>
        <v>9.471</v>
      </c>
      <c r="I570" s="187"/>
    </row>
    <row r="571" spans="1:9">
      <c r="A571" s="187"/>
      <c r="B571" s="187"/>
      <c r="C571" s="188"/>
      <c r="D571" s="276"/>
      <c r="E571" s="187"/>
      <c r="F571" s="187"/>
      <c r="G571" s="190"/>
      <c r="H571" s="186"/>
      <c r="I571" s="187"/>
    </row>
    <row r="572" s="125" customFormat="1" ht="63.75" spans="1:57">
      <c r="A572" s="175" t="s">
        <v>324</v>
      </c>
      <c r="B572" s="176" t="str">
        <f>VLOOKUP(A572,Planilha!$A$11:$I$39026,4,FALSE)</f>
        <v>Forma de chapas madeira compensada resinada, esp. 12mm, levando-se em conta a utilização 3 vezes, reforçadas com sarrafos de madeira de 2.5 x 10.0cm (incl material, corte, montagem, escoras em eucalipto e desforma)</v>
      </c>
      <c r="C572" s="177" t="str">
        <f>VLOOKUP($A572,Planilha!$A$11:$I$39026,5,FALSE)</f>
        <v>m²</v>
      </c>
      <c r="D572" s="178" t="s">
        <v>405</v>
      </c>
      <c r="E572" s="179" t="s">
        <v>406</v>
      </c>
      <c r="F572" s="179" t="s">
        <v>407</v>
      </c>
      <c r="G572" s="179" t="s">
        <v>408</v>
      </c>
      <c r="H572" s="180" t="s">
        <v>589</v>
      </c>
      <c r="I572" s="219">
        <f>SUM(H573:H575)</f>
        <v>15.4114</v>
      </c>
      <c r="J572" s="126"/>
      <c r="K572" s="126"/>
      <c r="L572" s="126"/>
      <c r="M572" s="126"/>
      <c r="N572" s="126"/>
      <c r="O572" s="126"/>
      <c r="P572" s="126"/>
      <c r="Q572" s="126"/>
      <c r="R572" s="126"/>
      <c r="S572" s="126"/>
      <c r="T572" s="126"/>
      <c r="U572" s="126"/>
      <c r="V572" s="126"/>
      <c r="W572" s="126"/>
      <c r="X572" s="126"/>
      <c r="Y572" s="126"/>
      <c r="Z572" s="126"/>
      <c r="AA572" s="126"/>
      <c r="AB572" s="126"/>
      <c r="AC572" s="126"/>
      <c r="AD572" s="126"/>
      <c r="AE572" s="126"/>
      <c r="AF572" s="126"/>
      <c r="AG572" s="126"/>
      <c r="AH572" s="126"/>
      <c r="AI572" s="126"/>
      <c r="AJ572" s="126"/>
      <c r="AK572" s="126"/>
      <c r="AL572" s="126"/>
      <c r="AM572" s="126"/>
      <c r="AN572" s="126"/>
      <c r="AO572" s="126"/>
      <c r="AP572" s="126"/>
      <c r="AQ572" s="126"/>
      <c r="AR572" s="126"/>
      <c r="AS572" s="126"/>
      <c r="AT572" s="126"/>
      <c r="AU572" s="126"/>
      <c r="AV572" s="126"/>
      <c r="AW572" s="126"/>
      <c r="AX572" s="126"/>
      <c r="AY572" s="126"/>
      <c r="AZ572" s="126"/>
      <c r="BA572" s="126"/>
      <c r="BB572" s="126"/>
      <c r="BC572" s="126"/>
      <c r="BD572" s="126"/>
      <c r="BE572" s="126"/>
    </row>
    <row r="573" spans="1:9">
      <c r="A573" s="187"/>
      <c r="B573" s="187"/>
      <c r="C573" s="188" t="s">
        <v>597</v>
      </c>
      <c r="D573" s="189">
        <v>1.62</v>
      </c>
      <c r="E573" s="187">
        <v>0.14</v>
      </c>
      <c r="F573" s="187">
        <v>0.3</v>
      </c>
      <c r="G573" s="190">
        <v>3</v>
      </c>
      <c r="H573" s="186">
        <f>G573*(E573*D573+2*F573*D573)</f>
        <v>3.5964</v>
      </c>
      <c r="I573" s="187"/>
    </row>
    <row r="574" spans="1:9">
      <c r="A574" s="187"/>
      <c r="B574" s="187"/>
      <c r="C574" s="188" t="s">
        <v>598</v>
      </c>
      <c r="D574" s="189">
        <v>4.55</v>
      </c>
      <c r="E574" s="187">
        <v>0.14</v>
      </c>
      <c r="F574" s="187">
        <v>0.3</v>
      </c>
      <c r="G574" s="190">
        <v>1</v>
      </c>
      <c r="H574" s="186">
        <f>G574*(E574*D574+2*F574*D574)</f>
        <v>3.367</v>
      </c>
      <c r="I574" s="187"/>
    </row>
    <row r="575" spans="1:9">
      <c r="A575" s="187"/>
      <c r="B575" s="187"/>
      <c r="C575" s="188" t="s">
        <v>599</v>
      </c>
      <c r="D575" s="189">
        <v>0.14</v>
      </c>
      <c r="E575" s="187">
        <v>0.3</v>
      </c>
      <c r="F575" s="187">
        <v>3.2</v>
      </c>
      <c r="G575" s="190">
        <v>3</v>
      </c>
      <c r="H575" s="186">
        <f>G575*(2*F575*(E575+D575))</f>
        <v>8.448</v>
      </c>
      <c r="I575" s="187"/>
    </row>
    <row r="576" customFormat="1" spans="1:9">
      <c r="A576" s="187"/>
      <c r="B576" s="187"/>
      <c r="C576" s="188"/>
      <c r="D576" s="189"/>
      <c r="E576" s="187"/>
      <c r="F576" s="187"/>
      <c r="G576" s="190"/>
      <c r="H576" s="186"/>
      <c r="I576" s="187"/>
    </row>
    <row r="577" s="125" customFormat="1" ht="51" spans="1:57">
      <c r="A577" s="175" t="s">
        <v>325</v>
      </c>
      <c r="B577" s="176" t="str">
        <f>VLOOKUP(A577,Planilha!$A$11:$I$39026,4,FALSE)</f>
        <v>Execução de junta de dilatação 2 x 2 cm considerando 1cm de aplicação de isopor e 1cm de aplicação de mastique elástico do tipo sikaflex 1a ou equivalente</v>
      </c>
      <c r="C577" s="177" t="str">
        <f>VLOOKUP($A577,Planilha!$A$11:$I$39026,5,FALSE)</f>
        <v>m</v>
      </c>
      <c r="D577" s="178" t="s">
        <v>405</v>
      </c>
      <c r="E577" s="179" t="s">
        <v>406</v>
      </c>
      <c r="F577" s="179" t="s">
        <v>407</v>
      </c>
      <c r="G577" s="179" t="s">
        <v>408</v>
      </c>
      <c r="H577" s="180" t="s">
        <v>411</v>
      </c>
      <c r="I577" s="219">
        <f>SUM(H578:H579)</f>
        <v>9.83</v>
      </c>
      <c r="J577" s="126"/>
      <c r="K577" s="126"/>
      <c r="L577" s="126"/>
      <c r="M577" s="126"/>
      <c r="N577" s="126"/>
      <c r="O577" s="126"/>
      <c r="P577" s="126"/>
      <c r="Q577" s="126"/>
      <c r="R577" s="126"/>
      <c r="S577" s="126"/>
      <c r="T577" s="126"/>
      <c r="U577" s="126"/>
      <c r="V577" s="126"/>
      <c r="W577" s="126"/>
      <c r="X577" s="126"/>
      <c r="Y577" s="126"/>
      <c r="Z577" s="126"/>
      <c r="AA577" s="126"/>
      <c r="AB577" s="126"/>
      <c r="AC577" s="126"/>
      <c r="AD577" s="126"/>
      <c r="AE577" s="126"/>
      <c r="AF577" s="126"/>
      <c r="AG577" s="126"/>
      <c r="AH577" s="126"/>
      <c r="AI577" s="126"/>
      <c r="AJ577" s="126"/>
      <c r="AK577" s="126"/>
      <c r="AL577" s="126"/>
      <c r="AM577" s="126"/>
      <c r="AN577" s="126"/>
      <c r="AO577" s="126"/>
      <c r="AP577" s="126"/>
      <c r="AQ577" s="126"/>
      <c r="AR577" s="126"/>
      <c r="AS577" s="126"/>
      <c r="AT577" s="126"/>
      <c r="AU577" s="126"/>
      <c r="AV577" s="126"/>
      <c r="AW577" s="126"/>
      <c r="AX577" s="126"/>
      <c r="AY577" s="126"/>
      <c r="AZ577" s="126"/>
      <c r="BA577" s="126"/>
      <c r="BB577" s="126"/>
      <c r="BC577" s="126"/>
      <c r="BD577" s="126"/>
      <c r="BE577" s="126"/>
    </row>
    <row r="578" spans="1:9">
      <c r="A578" s="187"/>
      <c r="B578" s="182" t="s">
        <v>410</v>
      </c>
      <c r="C578" s="188" t="s">
        <v>601</v>
      </c>
      <c r="D578" s="189">
        <v>4.55</v>
      </c>
      <c r="E578" s="187"/>
      <c r="F578" s="187"/>
      <c r="G578" s="190"/>
      <c r="H578" s="186">
        <f>D578</f>
        <v>4.55</v>
      </c>
      <c r="I578" s="187"/>
    </row>
    <row r="579" spans="1:9">
      <c r="A579" s="187"/>
      <c r="B579" s="182"/>
      <c r="C579" s="188" t="s">
        <v>602</v>
      </c>
      <c r="D579" s="189">
        <v>0.3</v>
      </c>
      <c r="E579" s="187">
        <v>0.14</v>
      </c>
      <c r="F579" s="187"/>
      <c r="G579" s="190">
        <v>6</v>
      </c>
      <c r="H579" s="186">
        <f>G579*(E579*2+D579*2)</f>
        <v>5.28</v>
      </c>
      <c r="I579" s="187"/>
    </row>
    <row r="580" spans="1:9">
      <c r="A580" s="187"/>
      <c r="B580" s="187"/>
      <c r="C580" s="188"/>
      <c r="D580" s="189"/>
      <c r="E580" s="187"/>
      <c r="F580" s="187"/>
      <c r="G580" s="190"/>
      <c r="H580" s="191"/>
      <c r="I580" s="187"/>
    </row>
    <row r="581" s="125" customFormat="1" ht="38.25" spans="1:57">
      <c r="A581" s="175" t="s">
        <v>330</v>
      </c>
      <c r="B581" s="176" t="str">
        <f>VLOOKUP(A581,Planilha!$A$11:$I$39026,4,FALSE)</f>
        <v>Verga/contraverga reta de concreto armado 10 x 5 cm, Fck = 15 MPa, inclusive forma, armação e desforma</v>
      </c>
      <c r="C581" s="177" t="str">
        <f>VLOOKUP($A581,Planilha!$A$11:$I$39026,5,FALSE)</f>
        <v>m</v>
      </c>
      <c r="D581" s="178" t="s">
        <v>405</v>
      </c>
      <c r="E581" s="179" t="s">
        <v>406</v>
      </c>
      <c r="F581" s="179" t="s">
        <v>407</v>
      </c>
      <c r="G581" s="179" t="s">
        <v>408</v>
      </c>
      <c r="H581" s="180" t="s">
        <v>411</v>
      </c>
      <c r="I581" s="219">
        <f>SUM(H582:H583)</f>
        <v>3.6</v>
      </c>
      <c r="J581" s="126"/>
      <c r="K581" s="126"/>
      <c r="L581" s="126"/>
      <c r="M581" s="126"/>
      <c r="N581" s="126"/>
      <c r="O581" s="126"/>
      <c r="P581" s="126"/>
      <c r="Q581" s="126"/>
      <c r="R581" s="126"/>
      <c r="S581" s="126"/>
      <c r="T581" s="126"/>
      <c r="U581" s="126"/>
      <c r="V581" s="126"/>
      <c r="W581" s="126"/>
      <c r="X581" s="126"/>
      <c r="Y581" s="126"/>
      <c r="Z581" s="126"/>
      <c r="AA581" s="126"/>
      <c r="AB581" s="126"/>
      <c r="AC581" s="126"/>
      <c r="AD581" s="126"/>
      <c r="AE581" s="126"/>
      <c r="AF581" s="126"/>
      <c r="AG581" s="126"/>
      <c r="AH581" s="126"/>
      <c r="AI581" s="126"/>
      <c r="AJ581" s="126"/>
      <c r="AK581" s="126"/>
      <c r="AL581" s="126"/>
      <c r="AM581" s="126"/>
      <c r="AN581" s="126"/>
      <c r="AO581" s="126"/>
      <c r="AP581" s="126"/>
      <c r="AQ581" s="126"/>
      <c r="AR581" s="126"/>
      <c r="AS581" s="126"/>
      <c r="AT581" s="126"/>
      <c r="AU581" s="126"/>
      <c r="AV581" s="126"/>
      <c r="AW581" s="126"/>
      <c r="AX581" s="126"/>
      <c r="AY581" s="126"/>
      <c r="AZ581" s="126"/>
      <c r="BA581" s="126"/>
      <c r="BB581" s="126"/>
      <c r="BC581" s="126"/>
      <c r="BD581" s="126"/>
      <c r="BE581" s="126"/>
    </row>
    <row r="582" spans="1:9">
      <c r="A582" s="187"/>
      <c r="B582" s="182" t="s">
        <v>410</v>
      </c>
      <c r="C582" s="188" t="s">
        <v>496</v>
      </c>
      <c r="D582" s="189">
        <v>2.2</v>
      </c>
      <c r="E582" s="187"/>
      <c r="F582" s="187"/>
      <c r="G582" s="190"/>
      <c r="H582" s="186">
        <f>D582</f>
        <v>2.2</v>
      </c>
      <c r="I582" s="187"/>
    </row>
    <row r="583" spans="1:9">
      <c r="A583" s="187"/>
      <c r="B583" s="187"/>
      <c r="C583" s="188" t="s">
        <v>603</v>
      </c>
      <c r="D583" s="189">
        <v>1.4</v>
      </c>
      <c r="E583" s="187"/>
      <c r="F583" s="187"/>
      <c r="G583" s="190"/>
      <c r="H583" s="186">
        <f>D583</f>
        <v>1.4</v>
      </c>
      <c r="I583" s="187"/>
    </row>
    <row r="584" spans="1:9">
      <c r="A584" s="187"/>
      <c r="B584" s="187"/>
      <c r="C584" s="188"/>
      <c r="D584" s="189"/>
      <c r="E584" s="187"/>
      <c r="F584" s="187"/>
      <c r="G584" s="190"/>
      <c r="H584" s="191"/>
      <c r="I584" s="187"/>
    </row>
    <row r="585" s="125" customFormat="1" ht="76.5" spans="1:57">
      <c r="A585" s="175" t="s">
        <v>332</v>
      </c>
      <c r="B585" s="176" t="str">
        <f>VLOOKUP(A585,Planilha!$A$11:$I$39026,4,FALSE)</f>
        <v>Alvenaria de blocos cerâmicos 10 furos 10x20x20cm, assentados c/argamassa de cimento, cal hidratada CH1 e areia traço 1:0,5:8, esp. das juntas 12mm e esp. das paredes s/revestimento, 10cm (bloco comprado na fábrica, posto obra)</v>
      </c>
      <c r="C585" s="177" t="s">
        <v>28</v>
      </c>
      <c r="D585" s="178" t="s">
        <v>405</v>
      </c>
      <c r="E585" s="179" t="s">
        <v>406</v>
      </c>
      <c r="F585" s="179" t="s">
        <v>407</v>
      </c>
      <c r="G585" s="179" t="s">
        <v>431</v>
      </c>
      <c r="H585" s="180" t="s">
        <v>409</v>
      </c>
      <c r="I585" s="219">
        <f>SUM(H586)</f>
        <v>29.88</v>
      </c>
      <c r="J585" s="126"/>
      <c r="K585" s="126"/>
      <c r="L585" s="126"/>
      <c r="M585" s="126"/>
      <c r="N585" s="126"/>
      <c r="O585" s="126"/>
      <c r="P585" s="126"/>
      <c r="Q585" s="126"/>
      <c r="R585" s="126"/>
      <c r="S585" s="126"/>
      <c r="T585" s="126"/>
      <c r="U585" s="126"/>
      <c r="V585" s="126"/>
      <c r="W585" s="126"/>
      <c r="X585" s="126"/>
      <c r="Y585" s="126"/>
      <c r="Z585" s="126"/>
      <c r="AA585" s="126"/>
      <c r="AB585" s="126"/>
      <c r="AC585" s="126"/>
      <c r="AD585" s="126"/>
      <c r="AE585" s="126"/>
      <c r="AF585" s="126"/>
      <c r="AG585" s="126"/>
      <c r="AH585" s="126"/>
      <c r="AI585" s="126"/>
      <c r="AJ585" s="126"/>
      <c r="AK585" s="126"/>
      <c r="AL585" s="126"/>
      <c r="AM585" s="126"/>
      <c r="AN585" s="126"/>
      <c r="AO585" s="126"/>
      <c r="AP585" s="126"/>
      <c r="AQ585" s="126"/>
      <c r="AR585" s="126"/>
      <c r="AS585" s="126"/>
      <c r="AT585" s="126"/>
      <c r="AU585" s="126"/>
      <c r="AV585" s="126"/>
      <c r="AW585" s="126"/>
      <c r="AX585" s="126"/>
      <c r="AY585" s="126"/>
      <c r="AZ585" s="126"/>
      <c r="BA585" s="126"/>
      <c r="BB585" s="126"/>
      <c r="BC585" s="126"/>
      <c r="BD585" s="126"/>
      <c r="BE585" s="126"/>
    </row>
    <row r="586" spans="1:9">
      <c r="A586" s="187"/>
      <c r="B586" s="182" t="s">
        <v>410</v>
      </c>
      <c r="C586" s="188" t="s">
        <v>604</v>
      </c>
      <c r="D586" s="189">
        <v>9.5</v>
      </c>
      <c r="E586" s="187"/>
      <c r="F586" s="187">
        <v>3.2</v>
      </c>
      <c r="G586" s="190">
        <f>(1.8*1.4-2)</f>
        <v>0.52</v>
      </c>
      <c r="H586" s="186">
        <f>F586*D586-G586</f>
        <v>29.88</v>
      </c>
      <c r="I586" s="187"/>
    </row>
    <row r="587" spans="1:9">
      <c r="A587" s="187"/>
      <c r="B587" s="187"/>
      <c r="C587" s="188"/>
      <c r="D587" s="189"/>
      <c r="E587" s="187"/>
      <c r="F587" s="187"/>
      <c r="G587" s="190"/>
      <c r="H587" s="186"/>
      <c r="I587" s="187"/>
    </row>
    <row r="588" s="125" customFormat="1" ht="38.25" spans="1:57">
      <c r="A588" s="175" t="s">
        <v>335</v>
      </c>
      <c r="B588" s="176" t="str">
        <f>VLOOKUP(A588,Planilha!$A$11:$I$39026,4,FALSE)</f>
        <v>Grade de tela tipo mosquiteiro de arame galvanizado #18, fio 32, inclusive, requadro em cantoneira de ferro 1/8"x1/2"x1/2"</v>
      </c>
      <c r="C588" s="177" t="str">
        <f>VLOOKUP($A588,Planilha!$A$11:$I$39026,5,FALSE)</f>
        <v>m²</v>
      </c>
      <c r="D588" s="178" t="s">
        <v>405</v>
      </c>
      <c r="E588" s="179" t="s">
        <v>406</v>
      </c>
      <c r="F588" s="179" t="s">
        <v>407</v>
      </c>
      <c r="G588" s="179" t="s">
        <v>431</v>
      </c>
      <c r="H588" s="180" t="s">
        <v>409</v>
      </c>
      <c r="I588" s="219">
        <f>SUM(H589)</f>
        <v>0.5</v>
      </c>
      <c r="J588" s="126"/>
      <c r="K588" s="126"/>
      <c r="L588" s="126"/>
      <c r="M588" s="126"/>
      <c r="N588" s="126"/>
      <c r="O588" s="126"/>
      <c r="P588" s="126"/>
      <c r="Q588" s="126"/>
      <c r="R588" s="126"/>
      <c r="S588" s="126"/>
      <c r="T588" s="126"/>
      <c r="U588" s="126"/>
      <c r="V588" s="126"/>
      <c r="W588" s="126"/>
      <c r="X588" s="126"/>
      <c r="Y588" s="126"/>
      <c r="Z588" s="126"/>
      <c r="AA588" s="126"/>
      <c r="AB588" s="126"/>
      <c r="AC588" s="126"/>
      <c r="AD588" s="126"/>
      <c r="AE588" s="126"/>
      <c r="AF588" s="126"/>
      <c r="AG588" s="126"/>
      <c r="AH588" s="126"/>
      <c r="AI588" s="126"/>
      <c r="AJ588" s="126"/>
      <c r="AK588" s="126"/>
      <c r="AL588" s="126"/>
      <c r="AM588" s="126"/>
      <c r="AN588" s="126"/>
      <c r="AO588" s="126"/>
      <c r="AP588" s="126"/>
      <c r="AQ588" s="126"/>
      <c r="AR588" s="126"/>
      <c r="AS588" s="126"/>
      <c r="AT588" s="126"/>
      <c r="AU588" s="126"/>
      <c r="AV588" s="126"/>
      <c r="AW588" s="126"/>
      <c r="AX588" s="126"/>
      <c r="AY588" s="126"/>
      <c r="AZ588" s="126"/>
      <c r="BA588" s="126"/>
      <c r="BB588" s="126"/>
      <c r="BC588" s="126"/>
      <c r="BD588" s="126"/>
      <c r="BE588" s="126"/>
    </row>
    <row r="589" spans="1:9">
      <c r="A589" s="187"/>
      <c r="B589" s="182" t="s">
        <v>410</v>
      </c>
      <c r="C589" s="188" t="s">
        <v>603</v>
      </c>
      <c r="D589" s="189">
        <v>1</v>
      </c>
      <c r="E589" s="187">
        <v>0.5</v>
      </c>
      <c r="F589" s="187"/>
      <c r="G589" s="190"/>
      <c r="H589" s="186">
        <f>E589*D589</f>
        <v>0.5</v>
      </c>
      <c r="I589" s="187"/>
    </row>
    <row r="590" spans="1:9">
      <c r="A590" s="187"/>
      <c r="B590" s="187"/>
      <c r="C590" s="188"/>
      <c r="D590" s="189"/>
      <c r="E590" s="187"/>
      <c r="F590" s="187"/>
      <c r="G590" s="190"/>
      <c r="H590" s="191"/>
      <c r="I590" s="187"/>
    </row>
    <row r="591" s="125" customFormat="1" ht="25.5" spans="1:57">
      <c r="A591" s="175" t="s">
        <v>336</v>
      </c>
      <c r="B591" s="176" t="str">
        <f>VLOOKUP(A591,Planilha!$A$11:$I$39026,4,FALSE)</f>
        <v>Grade de ferro em barra chata, inclusive chumbamento</v>
      </c>
      <c r="C591" s="177" t="str">
        <f>VLOOKUP($A591,Planilha!$A$11:$I$39026,5,FALSE)</f>
        <v>m²</v>
      </c>
      <c r="D591" s="178" t="s">
        <v>405</v>
      </c>
      <c r="E591" s="179" t="s">
        <v>406</v>
      </c>
      <c r="F591" s="179" t="s">
        <v>407</v>
      </c>
      <c r="G591" s="179" t="s">
        <v>431</v>
      </c>
      <c r="H591" s="180" t="s">
        <v>409</v>
      </c>
      <c r="I591" s="219">
        <f>SUM(H592:H593)</f>
        <v>5.22</v>
      </c>
      <c r="J591" s="126"/>
      <c r="K591" s="126"/>
      <c r="L591" s="126"/>
      <c r="M591" s="126"/>
      <c r="N591" s="126"/>
      <c r="O591" s="126"/>
      <c r="P591" s="126"/>
      <c r="Q591" s="126"/>
      <c r="R591" s="126"/>
      <c r="S591" s="126"/>
      <c r="T591" s="126"/>
      <c r="U591" s="126"/>
      <c r="V591" s="126"/>
      <c r="W591" s="126"/>
      <c r="X591" s="126"/>
      <c r="Y591" s="126"/>
      <c r="Z591" s="126"/>
      <c r="AA591" s="126"/>
      <c r="AB591" s="126"/>
      <c r="AC591" s="126"/>
      <c r="AD591" s="126"/>
      <c r="AE591" s="126"/>
      <c r="AF591" s="126"/>
      <c r="AG591" s="126"/>
      <c r="AH591" s="126"/>
      <c r="AI591" s="126"/>
      <c r="AJ591" s="126"/>
      <c r="AK591" s="126"/>
      <c r="AL591" s="126"/>
      <c r="AM591" s="126"/>
      <c r="AN591" s="126"/>
      <c r="AO591" s="126"/>
      <c r="AP591" s="126"/>
      <c r="AQ591" s="126"/>
      <c r="AR591" s="126"/>
      <c r="AS591" s="126"/>
      <c r="AT591" s="126"/>
      <c r="AU591" s="126"/>
      <c r="AV591" s="126"/>
      <c r="AW591" s="126"/>
      <c r="AX591" s="126"/>
      <c r="AY591" s="126"/>
      <c r="AZ591" s="126"/>
      <c r="BA591" s="126"/>
      <c r="BB591" s="126"/>
      <c r="BC591" s="126"/>
      <c r="BD591" s="126"/>
      <c r="BE591" s="126"/>
    </row>
    <row r="592" spans="1:9">
      <c r="A592" s="187"/>
      <c r="B592" s="182" t="s">
        <v>410</v>
      </c>
      <c r="C592" s="188" t="s">
        <v>603</v>
      </c>
      <c r="D592" s="189">
        <v>1.4</v>
      </c>
      <c r="E592" s="187">
        <v>0.9</v>
      </c>
      <c r="F592" s="187"/>
      <c r="G592" s="190"/>
      <c r="H592" s="186">
        <f>E592*D592</f>
        <v>1.26</v>
      </c>
      <c r="I592" s="187"/>
    </row>
    <row r="593" spans="1:9">
      <c r="A593" s="187"/>
      <c r="B593" s="187"/>
      <c r="C593" s="188" t="s">
        <v>496</v>
      </c>
      <c r="D593" s="189">
        <v>2.2</v>
      </c>
      <c r="E593" s="187">
        <v>1.8</v>
      </c>
      <c r="F593" s="187"/>
      <c r="G593" s="190"/>
      <c r="H593" s="191">
        <f>D593*E593</f>
        <v>3.96</v>
      </c>
      <c r="I593" s="187"/>
    </row>
    <row r="594" spans="1:9">
      <c r="A594" s="187"/>
      <c r="B594" s="187"/>
      <c r="C594" s="188"/>
      <c r="D594" s="189"/>
      <c r="E594" s="187"/>
      <c r="F594" s="187"/>
      <c r="G594" s="190"/>
      <c r="H594" s="191"/>
      <c r="I594" s="187"/>
    </row>
    <row r="595" s="125" customFormat="1" ht="51" spans="1:57">
      <c r="A595" s="175" t="s">
        <v>337</v>
      </c>
      <c r="B595" s="176" t="str">
        <f>VLOOKUP(A595,Planilha!$A$11:$I$39026,4,FALSE)</f>
        <v>Janela de correr para vidro em alumínio anodizado cor natural, linha 25, completa, incl. puxador com tranca, alizar, caixilho e contramarco, exclusive vidro</v>
      </c>
      <c r="C595" s="177" t="str">
        <f>VLOOKUP($A595,Planilha!$A$11:$I$39026,5,FALSE)</f>
        <v>m²</v>
      </c>
      <c r="D595" s="178" t="s">
        <v>405</v>
      </c>
      <c r="E595" s="179" t="s">
        <v>406</v>
      </c>
      <c r="F595" s="179" t="s">
        <v>407</v>
      </c>
      <c r="G595" s="179" t="s">
        <v>431</v>
      </c>
      <c r="H595" s="180" t="s">
        <v>409</v>
      </c>
      <c r="I595" s="219">
        <f>SUM(H596:H596)</f>
        <v>2.52</v>
      </c>
      <c r="J595" s="126"/>
      <c r="K595" s="126"/>
      <c r="L595" s="126"/>
      <c r="M595" s="126"/>
      <c r="N595" s="126"/>
      <c r="O595" s="126"/>
      <c r="P595" s="126"/>
      <c r="Q595" s="126"/>
      <c r="R595" s="126"/>
      <c r="S595" s="126"/>
      <c r="T595" s="126"/>
      <c r="U595" s="126"/>
      <c r="V595" s="126"/>
      <c r="W595" s="126"/>
      <c r="X595" s="126"/>
      <c r="Y595" s="126"/>
      <c r="Z595" s="126"/>
      <c r="AA595" s="126"/>
      <c r="AB595" s="126"/>
      <c r="AC595" s="126"/>
      <c r="AD595" s="126"/>
      <c r="AE595" s="126"/>
      <c r="AF595" s="126"/>
      <c r="AG595" s="126"/>
      <c r="AH595" s="126"/>
      <c r="AI595" s="126"/>
      <c r="AJ595" s="126"/>
      <c r="AK595" s="126"/>
      <c r="AL595" s="126"/>
      <c r="AM595" s="126"/>
      <c r="AN595" s="126"/>
      <c r="AO595" s="126"/>
      <c r="AP595" s="126"/>
      <c r="AQ595" s="126"/>
      <c r="AR595" s="126"/>
      <c r="AS595" s="126"/>
      <c r="AT595" s="126"/>
      <c r="AU595" s="126"/>
      <c r="AV595" s="126"/>
      <c r="AW595" s="126"/>
      <c r="AX595" s="126"/>
      <c r="AY595" s="126"/>
      <c r="AZ595" s="126"/>
      <c r="BA595" s="126"/>
      <c r="BB595" s="126"/>
      <c r="BC595" s="126"/>
      <c r="BD595" s="126"/>
      <c r="BE595" s="126"/>
    </row>
    <row r="596" spans="1:9">
      <c r="A596" s="187"/>
      <c r="B596" s="182" t="s">
        <v>410</v>
      </c>
      <c r="C596" s="188" t="s">
        <v>496</v>
      </c>
      <c r="D596" s="189">
        <v>1.8</v>
      </c>
      <c r="E596" s="187">
        <v>1.4</v>
      </c>
      <c r="F596" s="187"/>
      <c r="G596" s="190"/>
      <c r="H596" s="191">
        <f>D596*E596</f>
        <v>2.52</v>
      </c>
      <c r="I596" s="187"/>
    </row>
    <row r="597" spans="1:9">
      <c r="A597" s="187"/>
      <c r="B597" s="187"/>
      <c r="C597" s="188"/>
      <c r="D597" s="189"/>
      <c r="E597" s="187"/>
      <c r="F597" s="187"/>
      <c r="G597" s="190"/>
      <c r="H597" s="191"/>
      <c r="I597" s="187"/>
    </row>
    <row r="598" s="125" customFormat="1" ht="51" spans="1:57">
      <c r="A598" s="175" t="s">
        <v>338</v>
      </c>
      <c r="B598" s="176" t="str">
        <f>VLOOKUP(A598,Planilha!$A$11:$I$39026,4,FALSE)</f>
        <v>Janela tipo maxim-ar para vidro em alumínio anodizado natural, linha 25, completa, incl. puxador com tranca, caixilho, alizar e contramarco, exclusive vidro</v>
      </c>
      <c r="C598" s="177" t="str">
        <f>VLOOKUP($A598,Planilha!$A$11:$I$39026,5,FALSE)</f>
        <v>m²</v>
      </c>
      <c r="D598" s="178" t="s">
        <v>405</v>
      </c>
      <c r="E598" s="179" t="s">
        <v>406</v>
      </c>
      <c r="F598" s="179" t="s">
        <v>407</v>
      </c>
      <c r="G598" s="179" t="s">
        <v>431</v>
      </c>
      <c r="H598" s="180" t="s">
        <v>409</v>
      </c>
      <c r="I598" s="219">
        <f>SUM(H599:H599)</f>
        <v>0.5</v>
      </c>
      <c r="J598" s="126"/>
      <c r="K598" s="126"/>
      <c r="L598" s="126"/>
      <c r="M598" s="126"/>
      <c r="N598" s="126"/>
      <c r="O598" s="126"/>
      <c r="P598" s="126"/>
      <c r="Q598" s="126"/>
      <c r="R598" s="126"/>
      <c r="S598" s="126"/>
      <c r="T598" s="126"/>
      <c r="U598" s="126"/>
      <c r="V598" s="126"/>
      <c r="W598" s="126"/>
      <c r="X598" s="126"/>
      <c r="Y598" s="126"/>
      <c r="Z598" s="126"/>
      <c r="AA598" s="126"/>
      <c r="AB598" s="126"/>
      <c r="AC598" s="126"/>
      <c r="AD598" s="126"/>
      <c r="AE598" s="126"/>
      <c r="AF598" s="126"/>
      <c r="AG598" s="126"/>
      <c r="AH598" s="126"/>
      <c r="AI598" s="126"/>
      <c r="AJ598" s="126"/>
      <c r="AK598" s="126"/>
      <c r="AL598" s="126"/>
      <c r="AM598" s="126"/>
      <c r="AN598" s="126"/>
      <c r="AO598" s="126"/>
      <c r="AP598" s="126"/>
      <c r="AQ598" s="126"/>
      <c r="AR598" s="126"/>
      <c r="AS598" s="126"/>
      <c r="AT598" s="126"/>
      <c r="AU598" s="126"/>
      <c r="AV598" s="126"/>
      <c r="AW598" s="126"/>
      <c r="AX598" s="126"/>
      <c r="AY598" s="126"/>
      <c r="AZ598" s="126"/>
      <c r="BA598" s="126"/>
      <c r="BB598" s="126"/>
      <c r="BC598" s="126"/>
      <c r="BD598" s="126"/>
      <c r="BE598" s="126"/>
    </row>
    <row r="599" spans="1:9">
      <c r="A599" s="187"/>
      <c r="B599" s="182" t="s">
        <v>410</v>
      </c>
      <c r="C599" s="188" t="s">
        <v>603</v>
      </c>
      <c r="D599" s="189">
        <v>1</v>
      </c>
      <c r="E599" s="187">
        <v>0.5</v>
      </c>
      <c r="F599" s="187"/>
      <c r="G599" s="190"/>
      <c r="H599" s="191">
        <f>D599*E599</f>
        <v>0.5</v>
      </c>
      <c r="I599" s="187"/>
    </row>
    <row r="600" spans="1:9">
      <c r="A600" s="187"/>
      <c r="B600" s="187"/>
      <c r="C600" s="188"/>
      <c r="D600" s="189"/>
      <c r="E600" s="187"/>
      <c r="F600" s="187"/>
      <c r="G600" s="190"/>
      <c r="H600" s="191"/>
      <c r="I600" s="187"/>
    </row>
    <row r="601" s="125" customFormat="1" ht="25.5" spans="1:57">
      <c r="A601" s="175" t="s">
        <v>341</v>
      </c>
      <c r="B601" s="176" t="str">
        <f>VLOOKUP(A601,Planilha!$A$11:$I$39026,4,FALSE)</f>
        <v>Vidro plano transparente liso, com 4 mm de espessura</v>
      </c>
      <c r="C601" s="177" t="str">
        <f>VLOOKUP($A601,Planilha!$A$11:$I$39026,5,FALSE)</f>
        <v>m²</v>
      </c>
      <c r="D601" s="178" t="s">
        <v>405</v>
      </c>
      <c r="E601" s="179" t="s">
        <v>406</v>
      </c>
      <c r="F601" s="179" t="s">
        <v>407</v>
      </c>
      <c r="G601" s="179" t="s">
        <v>431</v>
      </c>
      <c r="H601" s="180" t="s">
        <v>409</v>
      </c>
      <c r="I601" s="219">
        <f>SUM(H602:H603)</f>
        <v>2.23</v>
      </c>
      <c r="J601" s="126"/>
      <c r="K601" s="126"/>
      <c r="L601" s="126"/>
      <c r="M601" s="126"/>
      <c r="N601" s="126"/>
      <c r="O601" s="126"/>
      <c r="P601" s="126"/>
      <c r="Q601" s="126"/>
      <c r="R601" s="126"/>
      <c r="S601" s="126"/>
      <c r="T601" s="126"/>
      <c r="U601" s="126"/>
      <c r="V601" s="126"/>
      <c r="W601" s="126"/>
      <c r="X601" s="126"/>
      <c r="Y601" s="126"/>
      <c r="Z601" s="126"/>
      <c r="AA601" s="126"/>
      <c r="AB601" s="126"/>
      <c r="AC601" s="126"/>
      <c r="AD601" s="126"/>
      <c r="AE601" s="126"/>
      <c r="AF601" s="126"/>
      <c r="AG601" s="126"/>
      <c r="AH601" s="126"/>
      <c r="AI601" s="126"/>
      <c r="AJ601" s="126"/>
      <c r="AK601" s="126"/>
      <c r="AL601" s="126"/>
      <c r="AM601" s="126"/>
      <c r="AN601" s="126"/>
      <c r="AO601" s="126"/>
      <c r="AP601" s="126"/>
      <c r="AQ601" s="126"/>
      <c r="AR601" s="126"/>
      <c r="AS601" s="126"/>
      <c r="AT601" s="126"/>
      <c r="AU601" s="126"/>
      <c r="AV601" s="126"/>
      <c r="AW601" s="126"/>
      <c r="AX601" s="126"/>
      <c r="AY601" s="126"/>
      <c r="AZ601" s="126"/>
      <c r="BA601" s="126"/>
      <c r="BB601" s="126"/>
      <c r="BC601" s="126"/>
      <c r="BD601" s="126"/>
      <c r="BE601" s="126"/>
    </row>
    <row r="602" spans="1:9">
      <c r="A602" s="187"/>
      <c r="B602" s="182" t="s">
        <v>410</v>
      </c>
      <c r="C602" s="188" t="s">
        <v>496</v>
      </c>
      <c r="D602" s="189">
        <v>1.8</v>
      </c>
      <c r="E602" s="187">
        <v>1.4</v>
      </c>
      <c r="F602" s="187"/>
      <c r="G602" s="190"/>
      <c r="H602" s="186">
        <f>(E602-0.3)*(D602-0.1)</f>
        <v>1.87</v>
      </c>
      <c r="I602" s="187"/>
    </row>
    <row r="603" spans="1:9">
      <c r="A603" s="187"/>
      <c r="B603" s="187"/>
      <c r="C603" s="188" t="s">
        <v>603</v>
      </c>
      <c r="D603" s="189">
        <v>1</v>
      </c>
      <c r="E603" s="187">
        <v>0.5</v>
      </c>
      <c r="F603" s="187"/>
      <c r="G603" s="190"/>
      <c r="H603" s="191">
        <f>(D603-0.1)*(E603-0.1)</f>
        <v>0.36</v>
      </c>
      <c r="I603" s="187"/>
    </row>
    <row r="604" spans="1:9">
      <c r="A604" s="187"/>
      <c r="B604" s="187"/>
      <c r="C604" s="188"/>
      <c r="D604" s="189"/>
      <c r="E604" s="187"/>
      <c r="F604" s="187"/>
      <c r="G604" s="190"/>
      <c r="H604" s="191"/>
      <c r="I604" s="187"/>
    </row>
    <row r="605" s="125" customFormat="1" ht="63.75" spans="1:57">
      <c r="A605" s="175" t="s">
        <v>344</v>
      </c>
      <c r="B605" s="176" t="str">
        <f>VLOOKUP(A605,Planilha!$A$11:$I$39026,4,FALSE)</f>
        <v>Estrutura de madeira de lei tipo Paraju, peroba mica, angelim pedra ou equivalente para telhado de telhas cerâmicas tipo capa e canal c/ tesouras, pilares, vigas, terças, caibros e ripas, incl. trat. c/cupinicida, exclusive telhas</v>
      </c>
      <c r="C605" s="177" t="str">
        <f>VLOOKUP($A605,Planilha!$A$11:$I$39026,5,FALSE)</f>
        <v>m²</v>
      </c>
      <c r="D605" s="178" t="s">
        <v>405</v>
      </c>
      <c r="E605" s="179" t="s">
        <v>406</v>
      </c>
      <c r="F605" s="179" t="s">
        <v>407</v>
      </c>
      <c r="G605" s="179" t="s">
        <v>408</v>
      </c>
      <c r="H605" s="180" t="s">
        <v>409</v>
      </c>
      <c r="I605" s="219">
        <f>SUM(H606)</f>
        <v>12.9375</v>
      </c>
      <c r="J605" s="126"/>
      <c r="K605" s="126"/>
      <c r="L605" s="126"/>
      <c r="M605" s="126"/>
      <c r="N605" s="126"/>
      <c r="O605" s="126"/>
      <c r="P605" s="126"/>
      <c r="Q605" s="126"/>
      <c r="R605" s="126"/>
      <c r="S605" s="126"/>
      <c r="T605" s="126"/>
      <c r="U605" s="126"/>
      <c r="V605" s="126"/>
      <c r="W605" s="126"/>
      <c r="X605" s="126"/>
      <c r="Y605" s="126"/>
      <c r="Z605" s="126"/>
      <c r="AA605" s="126"/>
      <c r="AB605" s="126"/>
      <c r="AC605" s="126"/>
      <c r="AD605" s="126"/>
      <c r="AE605" s="126"/>
      <c r="AF605" s="126"/>
      <c r="AG605" s="126"/>
      <c r="AH605" s="126"/>
      <c r="AI605" s="126"/>
      <c r="AJ605" s="126"/>
      <c r="AK605" s="126"/>
      <c r="AL605" s="126"/>
      <c r="AM605" s="126"/>
      <c r="AN605" s="126"/>
      <c r="AO605" s="126"/>
      <c r="AP605" s="126"/>
      <c r="AQ605" s="126"/>
      <c r="AR605" s="126"/>
      <c r="AS605" s="126"/>
      <c r="AT605" s="126"/>
      <c r="AU605" s="126"/>
      <c r="AV605" s="126"/>
      <c r="AW605" s="126"/>
      <c r="AX605" s="126"/>
      <c r="AY605" s="126"/>
      <c r="AZ605" s="126"/>
      <c r="BA605" s="126"/>
      <c r="BB605" s="126"/>
      <c r="BC605" s="126"/>
      <c r="BD605" s="126"/>
      <c r="BE605" s="126"/>
    </row>
    <row r="606" s="126" customFormat="1" spans="1:9">
      <c r="A606" s="181"/>
      <c r="B606" s="182" t="s">
        <v>410</v>
      </c>
      <c r="C606" s="183" t="s">
        <v>605</v>
      </c>
      <c r="D606" s="184">
        <f>1.65+0.6</f>
        <v>2.25</v>
      </c>
      <c r="E606" s="185">
        <f>4.55+1.2</f>
        <v>5.75</v>
      </c>
      <c r="F606" s="185"/>
      <c r="G606" s="183"/>
      <c r="H606" s="186">
        <f>E606*D606</f>
        <v>12.9375</v>
      </c>
      <c r="I606" s="220"/>
    </row>
    <row r="607" s="126" customFormat="1" spans="1:9">
      <c r="A607" s="181"/>
      <c r="B607" s="182"/>
      <c r="C607" s="183"/>
      <c r="D607" s="184"/>
      <c r="E607" s="185"/>
      <c r="F607" s="185"/>
      <c r="G607" s="183"/>
      <c r="H607" s="186"/>
      <c r="I607" s="220"/>
    </row>
    <row r="608" s="125" customFormat="1" ht="38.25" spans="1:57">
      <c r="A608" s="175" t="s">
        <v>345</v>
      </c>
      <c r="B608" s="176" t="str">
        <f>VLOOKUP(A608,Planilha!$A$11:$I$39026,4,FALSE)</f>
        <v>Cobertura nova de telhas cerâmicas tipo capa e canal inclusive cumeeiras (telhas compradas na fábrica, posto obra)</v>
      </c>
      <c r="C608" s="177" t="str">
        <f>VLOOKUP($A608,Planilha!$A$11:$I$39026,5,FALSE)</f>
        <v>m²</v>
      </c>
      <c r="D608" s="178" t="s">
        <v>405</v>
      </c>
      <c r="E608" s="179" t="s">
        <v>406</v>
      </c>
      <c r="F608" s="179" t="s">
        <v>407</v>
      </c>
      <c r="G608" s="179" t="s">
        <v>408</v>
      </c>
      <c r="H608" s="180" t="s">
        <v>409</v>
      </c>
      <c r="I608" s="219">
        <f>SUM(H609)</f>
        <v>12.9375</v>
      </c>
      <c r="J608" s="126"/>
      <c r="K608" s="126"/>
      <c r="L608" s="126"/>
      <c r="M608" s="126"/>
      <c r="N608" s="126"/>
      <c r="O608" s="126"/>
      <c r="P608" s="126"/>
      <c r="Q608" s="126"/>
      <c r="R608" s="126"/>
      <c r="S608" s="126"/>
      <c r="T608" s="126"/>
      <c r="U608" s="126"/>
      <c r="V608" s="126"/>
      <c r="W608" s="126"/>
      <c r="X608" s="126"/>
      <c r="Y608" s="126"/>
      <c r="Z608" s="126"/>
      <c r="AA608" s="126"/>
      <c r="AB608" s="126"/>
      <c r="AC608" s="126"/>
      <c r="AD608" s="126"/>
      <c r="AE608" s="126"/>
      <c r="AF608" s="126"/>
      <c r="AG608" s="126"/>
      <c r="AH608" s="126"/>
      <c r="AI608" s="126"/>
      <c r="AJ608" s="126"/>
      <c r="AK608" s="126"/>
      <c r="AL608" s="126"/>
      <c r="AM608" s="126"/>
      <c r="AN608" s="126"/>
      <c r="AO608" s="126"/>
      <c r="AP608" s="126"/>
      <c r="AQ608" s="126"/>
      <c r="AR608" s="126"/>
      <c r="AS608" s="126"/>
      <c r="AT608" s="126"/>
      <c r="AU608" s="126"/>
      <c r="AV608" s="126"/>
      <c r="AW608" s="126"/>
      <c r="AX608" s="126"/>
      <c r="AY608" s="126"/>
      <c r="AZ608" s="126"/>
      <c r="BA608" s="126"/>
      <c r="BB608" s="126"/>
      <c r="BC608" s="126"/>
      <c r="BD608" s="126"/>
      <c r="BE608" s="126"/>
    </row>
    <row r="609" s="126" customFormat="1" spans="1:9">
      <c r="A609" s="181"/>
      <c r="B609" s="182" t="s">
        <v>410</v>
      </c>
      <c r="C609" s="183" t="s">
        <v>605</v>
      </c>
      <c r="D609" s="184">
        <f>1.65+0.6</f>
        <v>2.25</v>
      </c>
      <c r="E609" s="185">
        <f>4.55+1.2</f>
        <v>5.75</v>
      </c>
      <c r="F609" s="185"/>
      <c r="G609" s="183"/>
      <c r="H609" s="186">
        <f>E609*D609</f>
        <v>12.9375</v>
      </c>
      <c r="I609" s="220"/>
    </row>
    <row r="610" spans="1:9">
      <c r="A610" s="187"/>
      <c r="B610" s="187"/>
      <c r="C610" s="188"/>
      <c r="D610" s="189"/>
      <c r="E610" s="187"/>
      <c r="F610" s="187"/>
      <c r="G610" s="190"/>
      <c r="H610" s="191"/>
      <c r="I610" s="187"/>
    </row>
    <row r="611" s="125" customFormat="1" ht="25.5" spans="1:57">
      <c r="A611" s="175" t="s">
        <v>346</v>
      </c>
      <c r="B611" s="176" t="str">
        <f>VLOOKUP(A611,Planilha!$A$11:$I$39026,4,FALSE)</f>
        <v>Rufo de chapa metálica nº 26 com largura de 30 cm</v>
      </c>
      <c r="C611" s="177" t="str">
        <f>VLOOKUP($A611,Planilha!$A$11:$I$39026,5,FALSE)</f>
        <v>m</v>
      </c>
      <c r="D611" s="178" t="s">
        <v>405</v>
      </c>
      <c r="E611" s="179" t="s">
        <v>406</v>
      </c>
      <c r="F611" s="179" t="s">
        <v>407</v>
      </c>
      <c r="G611" s="179" t="s">
        <v>408</v>
      </c>
      <c r="H611" s="180" t="s">
        <v>411</v>
      </c>
      <c r="I611" s="219">
        <f>SUM(H612)</f>
        <v>3.5</v>
      </c>
      <c r="J611" s="126"/>
      <c r="K611" s="126"/>
      <c r="L611" s="126"/>
      <c r="M611" s="126"/>
      <c r="N611" s="126"/>
      <c r="O611" s="126"/>
      <c r="P611" s="126"/>
      <c r="Q611" s="126"/>
      <c r="R611" s="126"/>
      <c r="S611" s="126"/>
      <c r="T611" s="126"/>
      <c r="U611" s="126"/>
      <c r="V611" s="126"/>
      <c r="W611" s="126"/>
      <c r="X611" s="126"/>
      <c r="Y611" s="126"/>
      <c r="Z611" s="126"/>
      <c r="AA611" s="126"/>
      <c r="AB611" s="126"/>
      <c r="AC611" s="126"/>
      <c r="AD611" s="126"/>
      <c r="AE611" s="126"/>
      <c r="AF611" s="126"/>
      <c r="AG611" s="126"/>
      <c r="AH611" s="126"/>
      <c r="AI611" s="126"/>
      <c r="AJ611" s="126"/>
      <c r="AK611" s="126"/>
      <c r="AL611" s="126"/>
      <c r="AM611" s="126"/>
      <c r="AN611" s="126"/>
      <c r="AO611" s="126"/>
      <c r="AP611" s="126"/>
      <c r="AQ611" s="126"/>
      <c r="AR611" s="126"/>
      <c r="AS611" s="126"/>
      <c r="AT611" s="126"/>
      <c r="AU611" s="126"/>
      <c r="AV611" s="126"/>
      <c r="AW611" s="126"/>
      <c r="AX611" s="126"/>
      <c r="AY611" s="126"/>
      <c r="AZ611" s="126"/>
      <c r="BA611" s="126"/>
      <c r="BB611" s="126"/>
      <c r="BC611" s="126"/>
      <c r="BD611" s="126"/>
      <c r="BE611" s="126"/>
    </row>
    <row r="612" s="126" customFormat="1" spans="1:9">
      <c r="A612" s="181"/>
      <c r="B612" s="182" t="s">
        <v>410</v>
      </c>
      <c r="C612" s="183" t="s">
        <v>605</v>
      </c>
      <c r="D612" s="184"/>
      <c r="E612" s="185">
        <v>3.5</v>
      </c>
      <c r="F612" s="185"/>
      <c r="G612" s="183"/>
      <c r="H612" s="186">
        <f>E612</f>
        <v>3.5</v>
      </c>
      <c r="I612" s="220"/>
    </row>
    <row r="613" spans="1:9">
      <c r="A613" s="187"/>
      <c r="B613" s="187"/>
      <c r="C613" s="188"/>
      <c r="D613" s="189"/>
      <c r="E613" s="187"/>
      <c r="F613" s="187"/>
      <c r="G613" s="190"/>
      <c r="H613" s="191"/>
      <c r="I613" s="187"/>
    </row>
    <row r="614" s="125" customFormat="1" spans="1:57">
      <c r="A614" s="175" t="s">
        <v>348</v>
      </c>
      <c r="B614" s="176" t="str">
        <f>VLOOKUP(A614,Planilha!$A$11:$I$39026,4,FALSE)</f>
        <v>Forro PVC branco L = 20 cm, frisado, colocado</v>
      </c>
      <c r="C614" s="177" t="str">
        <f>VLOOKUP($A614,Planilha!$A$11:$I$39026,5,FALSE)</f>
        <v>m²</v>
      </c>
      <c r="D614" s="178" t="s">
        <v>405</v>
      </c>
      <c r="E614" s="179" t="s">
        <v>406</v>
      </c>
      <c r="F614" s="179" t="s">
        <v>407</v>
      </c>
      <c r="G614" s="179" t="s">
        <v>521</v>
      </c>
      <c r="H614" s="180" t="s">
        <v>411</v>
      </c>
      <c r="I614" s="219">
        <f>SUM(H615:H616)</f>
        <v>6.765</v>
      </c>
      <c r="J614" s="126"/>
      <c r="K614" s="126"/>
      <c r="L614" s="126"/>
      <c r="M614" s="126"/>
      <c r="N614" s="126"/>
      <c r="O614" s="126"/>
      <c r="P614" s="126"/>
      <c r="Q614" s="126"/>
      <c r="R614" s="126"/>
      <c r="S614" s="126"/>
      <c r="T614" s="126"/>
      <c r="U614" s="126"/>
      <c r="V614" s="126"/>
      <c r="W614" s="126"/>
      <c r="X614" s="126"/>
      <c r="Y614" s="126"/>
      <c r="Z614" s="126"/>
      <c r="AA614" s="126"/>
      <c r="AB614" s="126"/>
      <c r="AC614" s="126"/>
      <c r="AD614" s="126"/>
      <c r="AE614" s="126"/>
      <c r="AF614" s="126"/>
      <c r="AG614" s="126"/>
      <c r="AH614" s="126"/>
      <c r="AI614" s="126"/>
      <c r="AJ614" s="126"/>
      <c r="AK614" s="126"/>
      <c r="AL614" s="126"/>
      <c r="AM614" s="126"/>
      <c r="AN614" s="126"/>
      <c r="AO614" s="126"/>
      <c r="AP614" s="126"/>
      <c r="AQ614" s="126"/>
      <c r="AR614" s="126"/>
      <c r="AS614" s="126"/>
      <c r="AT614" s="126"/>
      <c r="AU614" s="126"/>
      <c r="AV614" s="126"/>
      <c r="AW614" s="126"/>
      <c r="AX614" s="126"/>
      <c r="AY614" s="126"/>
      <c r="AZ614" s="126"/>
      <c r="BA614" s="126"/>
      <c r="BB614" s="126"/>
      <c r="BC614" s="126"/>
      <c r="BD614" s="126"/>
      <c r="BE614" s="126"/>
    </row>
    <row r="615" s="126" customFormat="1" spans="1:9">
      <c r="A615" s="181"/>
      <c r="B615" s="182" t="s">
        <v>410</v>
      </c>
      <c r="C615" s="183" t="s">
        <v>505</v>
      </c>
      <c r="D615" s="184">
        <v>2.6</v>
      </c>
      <c r="E615" s="185">
        <v>1.65</v>
      </c>
      <c r="F615" s="185"/>
      <c r="G615" s="183"/>
      <c r="H615" s="186">
        <f>E615*D615</f>
        <v>4.29</v>
      </c>
      <c r="I615" s="220"/>
    </row>
    <row r="616" spans="1:9">
      <c r="A616" s="187"/>
      <c r="B616" s="187"/>
      <c r="C616" s="188" t="s">
        <v>606</v>
      </c>
      <c r="D616" s="189">
        <v>1.5</v>
      </c>
      <c r="E616" s="187">
        <v>1.65</v>
      </c>
      <c r="F616" s="187"/>
      <c r="G616" s="190"/>
      <c r="H616" s="186">
        <f>E616*D616</f>
        <v>2.475</v>
      </c>
      <c r="I616" s="187"/>
    </row>
    <row r="617" spans="1:9">
      <c r="A617" s="187"/>
      <c r="B617" s="187"/>
      <c r="C617" s="188"/>
      <c r="D617" s="189"/>
      <c r="E617" s="187"/>
      <c r="F617" s="187"/>
      <c r="G617" s="190"/>
      <c r="H617" s="191"/>
      <c r="I617" s="187"/>
    </row>
    <row r="618" s="125" customFormat="1" ht="25.5" spans="1:57">
      <c r="A618" s="175" t="s">
        <v>351</v>
      </c>
      <c r="B618" s="176" t="str">
        <f>VLOOKUP(A618,Planilha!$A$11:$I$39026,4,FALSE)</f>
        <v>Chapisco de argamassa de cimento e areia média ou grossa lavada, no traço 1:3, espessura 5 mm</v>
      </c>
      <c r="C618" s="177" t="str">
        <f>VLOOKUP($A618,Planilha!$A$11:$I$39026,5,FALSE)</f>
        <v>m²</v>
      </c>
      <c r="D618" s="178" t="s">
        <v>405</v>
      </c>
      <c r="E618" s="179" t="s">
        <v>406</v>
      </c>
      <c r="F618" s="179" t="s">
        <v>407</v>
      </c>
      <c r="G618" s="179" t="s">
        <v>431</v>
      </c>
      <c r="H618" s="180" t="s">
        <v>409</v>
      </c>
      <c r="I618" s="219">
        <f>SUM(H619)</f>
        <v>59.76</v>
      </c>
      <c r="J618" s="126"/>
      <c r="K618" s="126"/>
      <c r="L618" s="126"/>
      <c r="M618" s="126"/>
      <c r="N618" s="126"/>
      <c r="O618" s="126"/>
      <c r="P618" s="126"/>
      <c r="Q618" s="126"/>
      <c r="R618" s="126"/>
      <c r="S618" s="126"/>
      <c r="T618" s="126"/>
      <c r="U618" s="126"/>
      <c r="V618" s="126"/>
      <c r="W618" s="126"/>
      <c r="X618" s="126"/>
      <c r="Y618" s="126"/>
      <c r="Z618" s="126"/>
      <c r="AA618" s="126"/>
      <c r="AB618" s="126"/>
      <c r="AC618" s="126"/>
      <c r="AD618" s="126"/>
      <c r="AE618" s="126"/>
      <c r="AF618" s="126"/>
      <c r="AG618" s="126"/>
      <c r="AH618" s="126"/>
      <c r="AI618" s="126"/>
      <c r="AJ618" s="126"/>
      <c r="AK618" s="126"/>
      <c r="AL618" s="126"/>
      <c r="AM618" s="126"/>
      <c r="AN618" s="126"/>
      <c r="AO618" s="126"/>
      <c r="AP618" s="126"/>
      <c r="AQ618" s="126"/>
      <c r="AR618" s="126"/>
      <c r="AS618" s="126"/>
      <c r="AT618" s="126"/>
      <c r="AU618" s="126"/>
      <c r="AV618" s="126"/>
      <c r="AW618" s="126"/>
      <c r="AX618" s="126"/>
      <c r="AY618" s="126"/>
      <c r="AZ618" s="126"/>
      <c r="BA618" s="126"/>
      <c r="BB618" s="126"/>
      <c r="BC618" s="126"/>
      <c r="BD618" s="126"/>
      <c r="BE618" s="126"/>
    </row>
    <row r="619" ht="30" spans="1:9">
      <c r="A619" s="187"/>
      <c r="B619" s="182" t="s">
        <v>410</v>
      </c>
      <c r="C619" s="188" t="s">
        <v>607</v>
      </c>
      <c r="D619" s="189">
        <f>1.65*3+4.55*1</f>
        <v>9.5</v>
      </c>
      <c r="E619" s="187"/>
      <c r="F619" s="187">
        <v>3.2</v>
      </c>
      <c r="G619" s="190">
        <f>(1.8*1.4-2)</f>
        <v>0.52</v>
      </c>
      <c r="H619" s="186">
        <f>(F619*D619-G619)*2</f>
        <v>59.76</v>
      </c>
      <c r="I619" s="187"/>
    </row>
    <row r="620" spans="1:9">
      <c r="A620" s="187"/>
      <c r="B620" s="187"/>
      <c r="C620" s="188"/>
      <c r="D620" s="189"/>
      <c r="E620" s="187"/>
      <c r="F620" s="187"/>
      <c r="G620" s="190"/>
      <c r="H620" s="191"/>
      <c r="I620" s="187"/>
    </row>
    <row r="621" s="125" customFormat="1" ht="51" spans="1:57">
      <c r="A621" s="175" t="s">
        <v>352</v>
      </c>
      <c r="B621" s="176" t="str">
        <f>VLOOKUP(A621,Planilha!$A$11:$I$39026,4,FALSE)</f>
        <v>Azulejo branco 15 x 15 cm, juntas a prumo, assentado com argamassa de cimento colante, inclusive rejuntamento com cimento branco, marcas de referência Eliane, Cecrisa ou Portobello</v>
      </c>
      <c r="C621" s="177" t="str">
        <f>VLOOKUP($A621,Planilha!$A$11:$I$39026,5,FALSE)</f>
        <v>m²</v>
      </c>
      <c r="D621" s="178" t="s">
        <v>405</v>
      </c>
      <c r="E621" s="179" t="s">
        <v>406</v>
      </c>
      <c r="F621" s="179" t="s">
        <v>407</v>
      </c>
      <c r="G621" s="179" t="s">
        <v>431</v>
      </c>
      <c r="H621" s="180" t="s">
        <v>409</v>
      </c>
      <c r="I621" s="219">
        <f>SUM(H622:H623)</f>
        <v>20.89</v>
      </c>
      <c r="J621" s="126"/>
      <c r="K621" s="126"/>
      <c r="L621" s="126"/>
      <c r="M621" s="126"/>
      <c r="N621" s="126"/>
      <c r="O621" s="126"/>
      <c r="P621" s="126"/>
      <c r="Q621" s="126"/>
      <c r="R621" s="126"/>
      <c r="S621" s="126"/>
      <c r="T621" s="126"/>
      <c r="U621" s="126"/>
      <c r="V621" s="126"/>
      <c r="W621" s="126"/>
      <c r="X621" s="126"/>
      <c r="Y621" s="126"/>
      <c r="Z621" s="126"/>
      <c r="AA621" s="126"/>
      <c r="AB621" s="126"/>
      <c r="AC621" s="126"/>
      <c r="AD621" s="126"/>
      <c r="AE621" s="126"/>
      <c r="AF621" s="126"/>
      <c r="AG621" s="126"/>
      <c r="AH621" s="126"/>
      <c r="AI621" s="126"/>
      <c r="AJ621" s="126"/>
      <c r="AK621" s="126"/>
      <c r="AL621" s="126"/>
      <c r="AM621" s="126"/>
      <c r="AN621" s="126"/>
      <c r="AO621" s="126"/>
      <c r="AP621" s="126"/>
      <c r="AQ621" s="126"/>
      <c r="AR621" s="126"/>
      <c r="AS621" s="126"/>
      <c r="AT621" s="126"/>
      <c r="AU621" s="126"/>
      <c r="AV621" s="126"/>
      <c r="AW621" s="126"/>
      <c r="AX621" s="126"/>
      <c r="AY621" s="126"/>
      <c r="AZ621" s="126"/>
      <c r="BA621" s="126"/>
      <c r="BB621" s="126"/>
      <c r="BC621" s="126"/>
      <c r="BD621" s="126"/>
      <c r="BE621" s="126"/>
    </row>
    <row r="622" spans="1:9">
      <c r="A622" s="187"/>
      <c r="B622" s="182" t="s">
        <v>410</v>
      </c>
      <c r="C622" s="188" t="s">
        <v>604</v>
      </c>
      <c r="D622" s="189">
        <f>1.65*2+2.6*1</f>
        <v>5.9</v>
      </c>
      <c r="E622" s="187"/>
      <c r="F622" s="187">
        <v>1.1</v>
      </c>
      <c r="G622" s="190"/>
      <c r="H622" s="186">
        <f t="shared" ref="H622:H627" si="34">(F622*D622-G622)</f>
        <v>6.49</v>
      </c>
      <c r="I622" s="187"/>
    </row>
    <row r="623" spans="1:9">
      <c r="A623" s="187"/>
      <c r="B623" s="182"/>
      <c r="C623" s="188" t="s">
        <v>506</v>
      </c>
      <c r="D623" s="189">
        <f>1.65*2+1.5</f>
        <v>4.8</v>
      </c>
      <c r="E623" s="187"/>
      <c r="F623" s="187">
        <v>3</v>
      </c>
      <c r="G623" s="190"/>
      <c r="H623" s="186">
        <f t="shared" si="34"/>
        <v>14.4</v>
      </c>
      <c r="I623" s="187"/>
    </row>
    <row r="624" spans="1:9">
      <c r="A624" s="187"/>
      <c r="B624" s="187"/>
      <c r="C624" s="188"/>
      <c r="D624" s="189"/>
      <c r="E624" s="187"/>
      <c r="F624" s="187"/>
      <c r="G624" s="190"/>
      <c r="H624" s="191"/>
      <c r="I624" s="187"/>
    </row>
    <row r="625" s="125" customFormat="1" ht="38.25" spans="1:57">
      <c r="A625" s="175" t="s">
        <v>353</v>
      </c>
      <c r="B625" s="176" t="str">
        <f>VLOOKUP(A625,Planilha!$A$11:$I$39026,4,FALSE)</f>
        <v>Emboço de argamassa de cimento, cal hidratada CH1 e areia média ou grossa lavada no traço 1:0.5:6, espessura 20 mm</v>
      </c>
      <c r="C625" s="177" t="str">
        <f>VLOOKUP($A625,Planilha!$A$11:$I$39026,5,FALSE)</f>
        <v>m²</v>
      </c>
      <c r="D625" s="178" t="s">
        <v>405</v>
      </c>
      <c r="E625" s="179" t="s">
        <v>406</v>
      </c>
      <c r="F625" s="179" t="s">
        <v>407</v>
      </c>
      <c r="G625" s="179" t="s">
        <v>431</v>
      </c>
      <c r="H625" s="180" t="s">
        <v>409</v>
      </c>
      <c r="I625" s="219">
        <f>SUM(H626:H627)</f>
        <v>20.89</v>
      </c>
      <c r="J625" s="126"/>
      <c r="K625" s="126"/>
      <c r="L625" s="126"/>
      <c r="M625" s="126"/>
      <c r="N625" s="126"/>
      <c r="O625" s="126"/>
      <c r="P625" s="126"/>
      <c r="Q625" s="126"/>
      <c r="R625" s="126"/>
      <c r="S625" s="126"/>
      <c r="T625" s="126"/>
      <c r="U625" s="126"/>
      <c r="V625" s="126"/>
      <c r="W625" s="126"/>
      <c r="X625" s="126"/>
      <c r="Y625" s="126"/>
      <c r="Z625" s="126"/>
      <c r="AA625" s="126"/>
      <c r="AB625" s="126"/>
      <c r="AC625" s="126"/>
      <c r="AD625" s="126"/>
      <c r="AE625" s="126"/>
      <c r="AF625" s="126"/>
      <c r="AG625" s="126"/>
      <c r="AH625" s="126"/>
      <c r="AI625" s="126"/>
      <c r="AJ625" s="126"/>
      <c r="AK625" s="126"/>
      <c r="AL625" s="126"/>
      <c r="AM625" s="126"/>
      <c r="AN625" s="126"/>
      <c r="AO625" s="126"/>
      <c r="AP625" s="126"/>
      <c r="AQ625" s="126"/>
      <c r="AR625" s="126"/>
      <c r="AS625" s="126"/>
      <c r="AT625" s="126"/>
      <c r="AU625" s="126"/>
      <c r="AV625" s="126"/>
      <c r="AW625" s="126"/>
      <c r="AX625" s="126"/>
      <c r="AY625" s="126"/>
      <c r="AZ625" s="126"/>
      <c r="BA625" s="126"/>
      <c r="BB625" s="126"/>
      <c r="BC625" s="126"/>
      <c r="BD625" s="126"/>
      <c r="BE625" s="126"/>
    </row>
    <row r="626" spans="1:9">
      <c r="A626" s="187"/>
      <c r="B626" s="182" t="s">
        <v>410</v>
      </c>
      <c r="C626" s="188" t="s">
        <v>604</v>
      </c>
      <c r="D626" s="189">
        <f>1.65*2+2.6*1</f>
        <v>5.9</v>
      </c>
      <c r="E626" s="187"/>
      <c r="F626" s="187">
        <v>1.1</v>
      </c>
      <c r="G626" s="190"/>
      <c r="H626" s="186">
        <f t="shared" si="34"/>
        <v>6.49</v>
      </c>
      <c r="I626" s="187"/>
    </row>
    <row r="627" spans="1:9">
      <c r="A627" s="187"/>
      <c r="B627" s="182"/>
      <c r="C627" s="188" t="s">
        <v>506</v>
      </c>
      <c r="D627" s="189">
        <f>1.65*2+1.5</f>
        <v>4.8</v>
      </c>
      <c r="E627" s="187"/>
      <c r="F627" s="187">
        <v>3</v>
      </c>
      <c r="G627" s="190"/>
      <c r="H627" s="186">
        <f t="shared" si="34"/>
        <v>14.4</v>
      </c>
      <c r="I627" s="187"/>
    </row>
    <row r="628" spans="1:9">
      <c r="A628" s="187"/>
      <c r="B628" s="187"/>
      <c r="C628" s="188"/>
      <c r="D628" s="189"/>
      <c r="E628" s="187"/>
      <c r="F628" s="187"/>
      <c r="G628" s="190"/>
      <c r="H628" s="191"/>
      <c r="I628" s="187"/>
    </row>
    <row r="629" s="125" customFormat="1" ht="38.25" spans="1:57">
      <c r="A629" s="175" t="s">
        <v>354</v>
      </c>
      <c r="B629" s="176" t="str">
        <f>VLOOKUP(A629,Planilha!$A$11:$I$39026,4,FALSE)</f>
        <v>Reboco tipo paulista de argamassa de cimento, cal hidratada CH1 e areia média ou grossa lavada no traço 1:0.5:6, espessura 25 mm</v>
      </c>
      <c r="C629" s="177" t="str">
        <f>VLOOKUP($A629,Planilha!$A$11:$I$39026,5,FALSE)</f>
        <v>m²</v>
      </c>
      <c r="D629" s="178" t="s">
        <v>405</v>
      </c>
      <c r="E629" s="179" t="s">
        <v>538</v>
      </c>
      <c r="F629" s="179" t="s">
        <v>539</v>
      </c>
      <c r="G629" s="179"/>
      <c r="H629" s="180" t="s">
        <v>409</v>
      </c>
      <c r="I629" s="219">
        <f>SUM(H630)</f>
        <v>38.87</v>
      </c>
      <c r="J629" s="126"/>
      <c r="K629" s="126"/>
      <c r="L629" s="126"/>
      <c r="M629" s="126"/>
      <c r="N629" s="126"/>
      <c r="O629" s="126"/>
      <c r="P629" s="126"/>
      <c r="Q629" s="126"/>
      <c r="R629" s="126"/>
      <c r="S629" s="126"/>
      <c r="T629" s="126"/>
      <c r="U629" s="126"/>
      <c r="V629" s="126"/>
      <c r="W629" s="126"/>
      <c r="X629" s="126"/>
      <c r="Y629" s="126"/>
      <c r="Z629" s="126"/>
      <c r="AA629" s="126"/>
      <c r="AB629" s="126"/>
      <c r="AC629" s="126"/>
      <c r="AD629" s="126"/>
      <c r="AE629" s="126"/>
      <c r="AF629" s="126"/>
      <c r="AG629" s="126"/>
      <c r="AH629" s="126"/>
      <c r="AI629" s="126"/>
      <c r="AJ629" s="126"/>
      <c r="AK629" s="126"/>
      <c r="AL629" s="126"/>
      <c r="AM629" s="126"/>
      <c r="AN629" s="126"/>
      <c r="AO629" s="126"/>
      <c r="AP629" s="126"/>
      <c r="AQ629" s="126"/>
      <c r="AR629" s="126"/>
      <c r="AS629" s="126"/>
      <c r="AT629" s="126"/>
      <c r="AU629" s="126"/>
      <c r="AV629" s="126"/>
      <c r="AW629" s="126"/>
      <c r="AX629" s="126"/>
      <c r="AY629" s="126"/>
      <c r="AZ629" s="126"/>
      <c r="BA629" s="126"/>
      <c r="BB629" s="126"/>
      <c r="BC629" s="126"/>
      <c r="BD629" s="126"/>
      <c r="BE629" s="126"/>
    </row>
    <row r="630" spans="1:9">
      <c r="A630" s="187"/>
      <c r="B630" s="182" t="s">
        <v>410</v>
      </c>
      <c r="C630" s="188" t="s">
        <v>527</v>
      </c>
      <c r="D630" s="189"/>
      <c r="E630" s="222">
        <f>I618</f>
        <v>59.76</v>
      </c>
      <c r="F630" s="222">
        <f>I621</f>
        <v>20.89</v>
      </c>
      <c r="G630" s="190"/>
      <c r="H630" s="186">
        <f>E630-F630</f>
        <v>38.87</v>
      </c>
      <c r="I630" s="187"/>
    </row>
    <row r="631" spans="1:9">
      <c r="A631" s="187"/>
      <c r="B631" s="187"/>
      <c r="C631" s="188"/>
      <c r="D631" s="189"/>
      <c r="E631" s="187"/>
      <c r="F631" s="187"/>
      <c r="G631" s="190"/>
      <c r="H631" s="191"/>
      <c r="I631" s="187"/>
    </row>
    <row r="632" s="125" customFormat="1" ht="38.25" spans="1:57">
      <c r="A632" s="175" t="s">
        <v>356</v>
      </c>
      <c r="B632" s="176" t="str">
        <f>VLOOKUP(A632,Planilha!$A$11:$I$39026,4,FALSE)</f>
        <v>Regularização de base p/ revestimento cerâmico, com argamassa de cimento e areia no traço 1:5, espessura 3cm</v>
      </c>
      <c r="C632" s="177" t="str">
        <f>VLOOKUP($A632,Planilha!$A$11:$I$39026,5,FALSE)</f>
        <v>m²</v>
      </c>
      <c r="D632" s="178" t="s">
        <v>405</v>
      </c>
      <c r="E632" s="179" t="s">
        <v>538</v>
      </c>
      <c r="F632" s="179" t="s">
        <v>539</v>
      </c>
      <c r="G632" s="179"/>
      <c r="H632" s="180" t="s">
        <v>409</v>
      </c>
      <c r="I632" s="219">
        <f>SUM(H633)</f>
        <v>7.5075</v>
      </c>
      <c r="J632" s="126"/>
      <c r="K632" s="126"/>
      <c r="L632" s="126"/>
      <c r="M632" s="126"/>
      <c r="N632" s="126"/>
      <c r="O632" s="126"/>
      <c r="P632" s="126"/>
      <c r="Q632" s="126"/>
      <c r="R632" s="126"/>
      <c r="S632" s="126"/>
      <c r="T632" s="126"/>
      <c r="U632" s="126"/>
      <c r="V632" s="126"/>
      <c r="W632" s="126"/>
      <c r="X632" s="126"/>
      <c r="Y632" s="126"/>
      <c r="Z632" s="126"/>
      <c r="AA632" s="126"/>
      <c r="AB632" s="126"/>
      <c r="AC632" s="126"/>
      <c r="AD632" s="126"/>
      <c r="AE632" s="126"/>
      <c r="AF632" s="126"/>
      <c r="AG632" s="126"/>
      <c r="AH632" s="126"/>
      <c r="AI632" s="126"/>
      <c r="AJ632" s="126"/>
      <c r="AK632" s="126"/>
      <c r="AL632" s="126"/>
      <c r="AM632" s="126"/>
      <c r="AN632" s="126"/>
      <c r="AO632" s="126"/>
      <c r="AP632" s="126"/>
      <c r="AQ632" s="126"/>
      <c r="AR632" s="126"/>
      <c r="AS632" s="126"/>
      <c r="AT632" s="126"/>
      <c r="AU632" s="126"/>
      <c r="AV632" s="126"/>
      <c r="AW632" s="126"/>
      <c r="AX632" s="126"/>
      <c r="AY632" s="126"/>
      <c r="AZ632" s="126"/>
      <c r="BA632" s="126"/>
      <c r="BB632" s="126"/>
      <c r="BC632" s="126"/>
      <c r="BD632" s="126"/>
      <c r="BE632" s="126"/>
    </row>
    <row r="633" spans="1:9">
      <c r="A633" s="187"/>
      <c r="B633" s="182" t="s">
        <v>410</v>
      </c>
      <c r="C633" s="183" t="s">
        <v>296</v>
      </c>
      <c r="D633" s="184">
        <v>1.65</v>
      </c>
      <c r="E633" s="185">
        <v>4.55</v>
      </c>
      <c r="F633" s="185"/>
      <c r="G633" s="183">
        <v>1</v>
      </c>
      <c r="H633" s="186">
        <f>G633*E633*D633</f>
        <v>7.5075</v>
      </c>
      <c r="I633" s="187"/>
    </row>
    <row r="634" spans="1:9">
      <c r="A634" s="187"/>
      <c r="B634" s="187"/>
      <c r="C634" s="188"/>
      <c r="D634" s="189"/>
      <c r="E634" s="187"/>
      <c r="F634" s="187"/>
      <c r="G634" s="190"/>
      <c r="H634" s="191"/>
      <c r="I634" s="187"/>
    </row>
    <row r="635" s="125" customFormat="1" ht="25.5" spans="1:57">
      <c r="A635" s="175" t="s">
        <v>357</v>
      </c>
      <c r="B635" s="176" t="str">
        <f>VLOOKUP(A635,Planilha!$A$11:$I$39026,4,FALSE)</f>
        <v>Lastro impermeabilizado de concreto não estrutural, espessura de 8cm</v>
      </c>
      <c r="C635" s="177" t="str">
        <f>VLOOKUP($A635,Planilha!$A$11:$I$39026,5,FALSE)</f>
        <v>m²</v>
      </c>
      <c r="D635" s="178" t="s">
        <v>405</v>
      </c>
      <c r="E635" s="179" t="s">
        <v>538</v>
      </c>
      <c r="F635" s="179" t="s">
        <v>539</v>
      </c>
      <c r="G635" s="179"/>
      <c r="H635" s="180" t="s">
        <v>409</v>
      </c>
      <c r="I635" s="219">
        <f>SUM(H636)</f>
        <v>7.5075</v>
      </c>
      <c r="J635" s="126"/>
      <c r="K635" s="126"/>
      <c r="L635" s="126"/>
      <c r="M635" s="126"/>
      <c r="N635" s="126"/>
      <c r="O635" s="126"/>
      <c r="P635" s="126"/>
      <c r="Q635" s="126"/>
      <c r="R635" s="126"/>
      <c r="S635" s="126"/>
      <c r="T635" s="126"/>
      <c r="U635" s="126"/>
      <c r="V635" s="126"/>
      <c r="W635" s="126"/>
      <c r="X635" s="126"/>
      <c r="Y635" s="126"/>
      <c r="Z635" s="126"/>
      <c r="AA635" s="126"/>
      <c r="AB635" s="126"/>
      <c r="AC635" s="126"/>
      <c r="AD635" s="126"/>
      <c r="AE635" s="126"/>
      <c r="AF635" s="126"/>
      <c r="AG635" s="126"/>
      <c r="AH635" s="126"/>
      <c r="AI635" s="126"/>
      <c r="AJ635" s="126"/>
      <c r="AK635" s="126"/>
      <c r="AL635" s="126"/>
      <c r="AM635" s="126"/>
      <c r="AN635" s="126"/>
      <c r="AO635" s="126"/>
      <c r="AP635" s="126"/>
      <c r="AQ635" s="126"/>
      <c r="AR635" s="126"/>
      <c r="AS635" s="126"/>
      <c r="AT635" s="126"/>
      <c r="AU635" s="126"/>
      <c r="AV635" s="126"/>
      <c r="AW635" s="126"/>
      <c r="AX635" s="126"/>
      <c r="AY635" s="126"/>
      <c r="AZ635" s="126"/>
      <c r="BA635" s="126"/>
      <c r="BB635" s="126"/>
      <c r="BC635" s="126"/>
      <c r="BD635" s="126"/>
      <c r="BE635" s="126"/>
    </row>
    <row r="636" spans="1:9">
      <c r="A636" s="187"/>
      <c r="B636" s="182" t="s">
        <v>410</v>
      </c>
      <c r="C636" s="183" t="s">
        <v>296</v>
      </c>
      <c r="D636" s="184">
        <v>1.65</v>
      </c>
      <c r="E636" s="185">
        <v>4.55</v>
      </c>
      <c r="F636" s="185"/>
      <c r="G636" s="183">
        <v>1</v>
      </c>
      <c r="H636" s="186">
        <f>G636*E636*D636</f>
        <v>7.5075</v>
      </c>
      <c r="I636" s="187"/>
    </row>
    <row r="637" spans="1:9">
      <c r="A637" s="187"/>
      <c r="B637" s="187"/>
      <c r="C637" s="188"/>
      <c r="D637" s="189"/>
      <c r="E637" s="187"/>
      <c r="F637" s="187"/>
      <c r="G637" s="190"/>
      <c r="H637" s="191"/>
      <c r="I637" s="187"/>
    </row>
    <row r="638" s="125" customFormat="1" ht="51" spans="1:57">
      <c r="A638" s="175" t="s">
        <v>359</v>
      </c>
      <c r="B638" s="176" t="str">
        <f>VLOOKUP(A638,Planilha!$A$11:$I$39026,4,FALSE)</f>
        <v>Piso cerâmico 45x45cm, PEI 5, Cargo Plus Gray, marcas de referência Eliane, Cecrisa ou Portobello, assentado com argamassa de cimento colante, inclusive rejuntamento</v>
      </c>
      <c r="C638" s="177" t="str">
        <f>VLOOKUP($A638,Planilha!$A$11:$I$39026,5,FALSE)</f>
        <v>m²</v>
      </c>
      <c r="D638" s="178" t="s">
        <v>405</v>
      </c>
      <c r="E638" s="179" t="s">
        <v>538</v>
      </c>
      <c r="F638" s="179" t="s">
        <v>539</v>
      </c>
      <c r="G638" s="179"/>
      <c r="H638" s="180" t="s">
        <v>409</v>
      </c>
      <c r="I638" s="219">
        <f>SUM(H639)</f>
        <v>7.5075</v>
      </c>
      <c r="J638" s="126"/>
      <c r="K638" s="126"/>
      <c r="L638" s="126"/>
      <c r="M638" s="126"/>
      <c r="N638" s="126"/>
      <c r="O638" s="126"/>
      <c r="P638" s="126"/>
      <c r="Q638" s="126"/>
      <c r="R638" s="126"/>
      <c r="S638" s="126"/>
      <c r="T638" s="126"/>
      <c r="U638" s="126"/>
      <c r="V638" s="126"/>
      <c r="W638" s="126"/>
      <c r="X638" s="126"/>
      <c r="Y638" s="126"/>
      <c r="Z638" s="126"/>
      <c r="AA638" s="126"/>
      <c r="AB638" s="126"/>
      <c r="AC638" s="126"/>
      <c r="AD638" s="126"/>
      <c r="AE638" s="126"/>
      <c r="AF638" s="126"/>
      <c r="AG638" s="126"/>
      <c r="AH638" s="126"/>
      <c r="AI638" s="126"/>
      <c r="AJ638" s="126"/>
      <c r="AK638" s="126"/>
      <c r="AL638" s="126"/>
      <c r="AM638" s="126"/>
      <c r="AN638" s="126"/>
      <c r="AO638" s="126"/>
      <c r="AP638" s="126"/>
      <c r="AQ638" s="126"/>
      <c r="AR638" s="126"/>
      <c r="AS638" s="126"/>
      <c r="AT638" s="126"/>
      <c r="AU638" s="126"/>
      <c r="AV638" s="126"/>
      <c r="AW638" s="126"/>
      <c r="AX638" s="126"/>
      <c r="AY638" s="126"/>
      <c r="AZ638" s="126"/>
      <c r="BA638" s="126"/>
      <c r="BB638" s="126"/>
      <c r="BC638" s="126"/>
      <c r="BD638" s="126"/>
      <c r="BE638" s="126"/>
    </row>
    <row r="639" spans="1:9">
      <c r="A639" s="187"/>
      <c r="B639" s="182" t="s">
        <v>410</v>
      </c>
      <c r="C639" s="183" t="s">
        <v>296</v>
      </c>
      <c r="D639" s="184">
        <v>1.65</v>
      </c>
      <c r="E639" s="185">
        <v>4.55</v>
      </c>
      <c r="F639" s="185"/>
      <c r="G639" s="183">
        <v>1</v>
      </c>
      <c r="H639" s="186">
        <f>G639*E639*D639</f>
        <v>7.5075</v>
      </c>
      <c r="I639" s="187"/>
    </row>
    <row r="640" spans="1:9">
      <c r="A640" s="187"/>
      <c r="B640" s="187"/>
      <c r="C640" s="188"/>
      <c r="D640" s="189"/>
      <c r="E640" s="187"/>
      <c r="F640" s="187"/>
      <c r="G640" s="190"/>
      <c r="H640" s="191"/>
      <c r="I640" s="187"/>
    </row>
    <row r="641" s="125" customFormat="1" ht="38.25" spans="1:57">
      <c r="A641" s="175" t="s">
        <v>361</v>
      </c>
      <c r="B641" s="176" t="str">
        <f>VLOOKUP(A641,Planilha!$A$11:$I$39026,4,FALSE)</f>
        <v>Quadro de distribuição de energia, de embutir, com 6 divisões modulares, com barramento trifásico 100A</v>
      </c>
      <c r="C641" s="177" t="str">
        <f>VLOOKUP($A641,Planilha!$A$11:$I$39026,5,FALSE)</f>
        <v>und</v>
      </c>
      <c r="D641" s="178" t="s">
        <v>405</v>
      </c>
      <c r="E641" s="179" t="s">
        <v>538</v>
      </c>
      <c r="F641" s="179" t="s">
        <v>539</v>
      </c>
      <c r="G641" s="179"/>
      <c r="H641" s="180" t="s">
        <v>409</v>
      </c>
      <c r="I641" s="219">
        <f>SUM(H642)</f>
        <v>1</v>
      </c>
      <c r="J641" s="126"/>
      <c r="K641" s="126"/>
      <c r="L641" s="126"/>
      <c r="M641" s="126"/>
      <c r="N641" s="126"/>
      <c r="O641" s="126"/>
      <c r="P641" s="126"/>
      <c r="Q641" s="126"/>
      <c r="R641" s="126"/>
      <c r="S641" s="126"/>
      <c r="T641" s="126"/>
      <c r="U641" s="126"/>
      <c r="V641" s="126"/>
      <c r="W641" s="126"/>
      <c r="X641" s="126"/>
      <c r="Y641" s="126"/>
      <c r="Z641" s="126"/>
      <c r="AA641" s="126"/>
      <c r="AB641" s="126"/>
      <c r="AC641" s="126"/>
      <c r="AD641" s="126"/>
      <c r="AE641" s="126"/>
      <c r="AF641" s="126"/>
      <c r="AG641" s="126"/>
      <c r="AH641" s="126"/>
      <c r="AI641" s="126"/>
      <c r="AJ641" s="126"/>
      <c r="AK641" s="126"/>
      <c r="AL641" s="126"/>
      <c r="AM641" s="126"/>
      <c r="AN641" s="126"/>
      <c r="AO641" s="126"/>
      <c r="AP641" s="126"/>
      <c r="AQ641" s="126"/>
      <c r="AR641" s="126"/>
      <c r="AS641" s="126"/>
      <c r="AT641" s="126"/>
      <c r="AU641" s="126"/>
      <c r="AV641" s="126"/>
      <c r="AW641" s="126"/>
      <c r="AX641" s="126"/>
      <c r="AY641" s="126"/>
      <c r="AZ641" s="126"/>
      <c r="BA641" s="126"/>
      <c r="BB641" s="126"/>
      <c r="BC641" s="126"/>
      <c r="BD641" s="126"/>
      <c r="BE641" s="126"/>
    </row>
    <row r="642" spans="1:9">
      <c r="A642" s="187"/>
      <c r="B642" s="182" t="s">
        <v>410</v>
      </c>
      <c r="C642" s="183" t="s">
        <v>296</v>
      </c>
      <c r="D642" s="184"/>
      <c r="E642" s="185"/>
      <c r="F642" s="185"/>
      <c r="G642" s="183">
        <v>1</v>
      </c>
      <c r="H642" s="186">
        <f>G642</f>
        <v>1</v>
      </c>
      <c r="I642" s="187"/>
    </row>
    <row r="643" spans="1:9">
      <c r="A643" s="187"/>
      <c r="B643" s="187"/>
      <c r="C643" s="188"/>
      <c r="D643" s="189"/>
      <c r="E643" s="187"/>
      <c r="F643" s="187"/>
      <c r="G643" s="190"/>
      <c r="H643" s="191"/>
      <c r="I643" s="187"/>
    </row>
    <row r="644" s="125" customFormat="1" ht="38.25" spans="1:57">
      <c r="A644" s="175" t="s">
        <v>362</v>
      </c>
      <c r="B644" s="176" t="str">
        <f>VLOOKUP(A644,Planilha!$A$11:$I$39026,4,FALSE)</f>
        <v>Mini-Disjuntor bipolar 20 A, curva C - 5KA 220/127VCA (NBR IEC 60947-2), Ref. Siemens, GE, Schneider ou equivalente</v>
      </c>
      <c r="C644" s="177" t="str">
        <f>VLOOKUP($A644,Planilha!$A$11:$I$39026,5,FALSE)</f>
        <v>und</v>
      </c>
      <c r="D644" s="178" t="s">
        <v>405</v>
      </c>
      <c r="E644" s="179" t="s">
        <v>538</v>
      </c>
      <c r="F644" s="179" t="s">
        <v>539</v>
      </c>
      <c r="G644" s="179"/>
      <c r="H644" s="180" t="s">
        <v>457</v>
      </c>
      <c r="I644" s="219">
        <f>SUM(H645)</f>
        <v>1</v>
      </c>
      <c r="J644" s="126"/>
      <c r="K644" s="126"/>
      <c r="L644" s="126"/>
      <c r="M644" s="126"/>
      <c r="N644" s="126"/>
      <c r="O644" s="126"/>
      <c r="P644" s="126"/>
      <c r="Q644" s="126"/>
      <c r="R644" s="126"/>
      <c r="S644" s="126"/>
      <c r="T644" s="126"/>
      <c r="U644" s="126"/>
      <c r="V644" s="126"/>
      <c r="W644" s="126"/>
      <c r="X644" s="126"/>
      <c r="Y644" s="126"/>
      <c r="Z644" s="126"/>
      <c r="AA644" s="126"/>
      <c r="AB644" s="126"/>
      <c r="AC644" s="126"/>
      <c r="AD644" s="126"/>
      <c r="AE644" s="126"/>
      <c r="AF644" s="126"/>
      <c r="AG644" s="126"/>
      <c r="AH644" s="126"/>
      <c r="AI644" s="126"/>
      <c r="AJ644" s="126"/>
      <c r="AK644" s="126"/>
      <c r="AL644" s="126"/>
      <c r="AM644" s="126"/>
      <c r="AN644" s="126"/>
      <c r="AO644" s="126"/>
      <c r="AP644" s="126"/>
      <c r="AQ644" s="126"/>
      <c r="AR644" s="126"/>
      <c r="AS644" s="126"/>
      <c r="AT644" s="126"/>
      <c r="AU644" s="126"/>
      <c r="AV644" s="126"/>
      <c r="AW644" s="126"/>
      <c r="AX644" s="126"/>
      <c r="AY644" s="126"/>
      <c r="AZ644" s="126"/>
      <c r="BA644" s="126"/>
      <c r="BB644" s="126"/>
      <c r="BC644" s="126"/>
      <c r="BD644" s="126"/>
      <c r="BE644" s="126"/>
    </row>
    <row r="645" spans="1:9">
      <c r="A645" s="187"/>
      <c r="B645" s="182" t="s">
        <v>410</v>
      </c>
      <c r="C645" s="183" t="s">
        <v>608</v>
      </c>
      <c r="D645" s="184"/>
      <c r="E645" s="185"/>
      <c r="F645" s="185"/>
      <c r="G645" s="183">
        <v>1</v>
      </c>
      <c r="H645" s="186">
        <f>G645</f>
        <v>1</v>
      </c>
      <c r="I645" s="187"/>
    </row>
    <row r="646" customFormat="1" spans="1:9">
      <c r="A646" s="187"/>
      <c r="B646" s="187"/>
      <c r="C646" s="188"/>
      <c r="D646" s="189"/>
      <c r="E646" s="187"/>
      <c r="F646" s="187"/>
      <c r="G646" s="190"/>
      <c r="H646" s="186"/>
      <c r="I646" s="187"/>
    </row>
    <row r="647" s="125" customFormat="1" spans="1:57">
      <c r="A647" s="175" t="s">
        <v>364</v>
      </c>
      <c r="B647" s="176" t="str">
        <f>VLOOKUP(A647,Planilha!$A$11:$I$39026,4,FALSE)</f>
        <v>Interruptor Diferencial DR 25A, 30mA, 2 módulos</v>
      </c>
      <c r="C647" s="177" t="str">
        <f>VLOOKUP($A647,Planilha!$A$11:$I$39026,5,FALSE)</f>
        <v>und</v>
      </c>
      <c r="D647" s="178" t="s">
        <v>405</v>
      </c>
      <c r="E647" s="179" t="s">
        <v>538</v>
      </c>
      <c r="F647" s="179" t="s">
        <v>539</v>
      </c>
      <c r="G647" s="179"/>
      <c r="H647" s="180" t="s">
        <v>457</v>
      </c>
      <c r="I647" s="219">
        <f>SUM(H648)</f>
        <v>1</v>
      </c>
      <c r="J647" s="126"/>
      <c r="K647" s="126"/>
      <c r="L647" s="126"/>
      <c r="M647" s="126"/>
      <c r="N647" s="126"/>
      <c r="O647" s="126"/>
      <c r="P647" s="126"/>
      <c r="Q647" s="126"/>
      <c r="R647" s="126"/>
      <c r="S647" s="126"/>
      <c r="T647" s="126"/>
      <c r="U647" s="126"/>
      <c r="V647" s="126"/>
      <c r="W647" s="126"/>
      <c r="X647" s="126"/>
      <c r="Y647" s="126"/>
      <c r="Z647" s="126"/>
      <c r="AA647" s="126"/>
      <c r="AB647" s="126"/>
      <c r="AC647" s="126"/>
      <c r="AD647" s="126"/>
      <c r="AE647" s="126"/>
      <c r="AF647" s="126"/>
      <c r="AG647" s="126"/>
      <c r="AH647" s="126"/>
      <c r="AI647" s="126"/>
      <c r="AJ647" s="126"/>
      <c r="AK647" s="126"/>
      <c r="AL647" s="126"/>
      <c r="AM647" s="126"/>
      <c r="AN647" s="126"/>
      <c r="AO647" s="126"/>
      <c r="AP647" s="126"/>
      <c r="AQ647" s="126"/>
      <c r="AR647" s="126"/>
      <c r="AS647" s="126"/>
      <c r="AT647" s="126"/>
      <c r="AU647" s="126"/>
      <c r="AV647" s="126"/>
      <c r="AW647" s="126"/>
      <c r="AX647" s="126"/>
      <c r="AY647" s="126"/>
      <c r="AZ647" s="126"/>
      <c r="BA647" s="126"/>
      <c r="BB647" s="126"/>
      <c r="BC647" s="126"/>
      <c r="BD647" s="126"/>
      <c r="BE647" s="126"/>
    </row>
    <row r="648" spans="1:9">
      <c r="A648" s="187"/>
      <c r="B648" s="182" t="s">
        <v>410</v>
      </c>
      <c r="C648" s="183" t="s">
        <v>609</v>
      </c>
      <c r="D648" s="184"/>
      <c r="E648" s="185"/>
      <c r="F648" s="185"/>
      <c r="G648" s="183">
        <v>1</v>
      </c>
      <c r="H648" s="186">
        <f>G648</f>
        <v>1</v>
      </c>
      <c r="I648" s="187"/>
    </row>
    <row r="649" customFormat="1" spans="1:9">
      <c r="A649" s="187"/>
      <c r="B649" s="187"/>
      <c r="C649" s="188"/>
      <c r="D649" s="189"/>
      <c r="E649" s="187"/>
      <c r="F649" s="187"/>
      <c r="G649" s="190"/>
      <c r="H649" s="186"/>
      <c r="I649" s="187"/>
    </row>
    <row r="650" s="125" customFormat="1" ht="25.5" spans="1:57">
      <c r="A650" s="175" t="s">
        <v>366</v>
      </c>
      <c r="B650" s="176" t="str">
        <f>VLOOKUP(A650,Planilha!$A$11:$I$39026,4,FALSE)</f>
        <v>Fio ou cabo de cobre termoplástico, com isolamento para 750V, seção de 6.0 mm2</v>
      </c>
      <c r="C650" s="177" t="str">
        <f>VLOOKUP($A650,Planilha!$A$11:$I$39026,5,FALSE)</f>
        <v>m</v>
      </c>
      <c r="D650" s="178" t="s">
        <v>405</v>
      </c>
      <c r="E650" s="179" t="s">
        <v>538</v>
      </c>
      <c r="F650" s="179" t="s">
        <v>539</v>
      </c>
      <c r="G650" s="179"/>
      <c r="H650" s="180" t="s">
        <v>411</v>
      </c>
      <c r="I650" s="219">
        <f>SUM(H651:H652)</f>
        <v>23.5</v>
      </c>
      <c r="J650" s="126"/>
      <c r="K650" s="126"/>
      <c r="L650" s="126"/>
      <c r="M650" s="126"/>
      <c r="N650" s="126"/>
      <c r="O650" s="126"/>
      <c r="P650" s="126"/>
      <c r="Q650" s="126"/>
      <c r="R650" s="126"/>
      <c r="S650" s="126"/>
      <c r="T650" s="126"/>
      <c r="U650" s="126"/>
      <c r="V650" s="126"/>
      <c r="W650" s="126"/>
      <c r="X650" s="126"/>
      <c r="Y650" s="126"/>
      <c r="Z650" s="126"/>
      <c r="AA650" s="126"/>
      <c r="AB650" s="126"/>
      <c r="AC650" s="126"/>
      <c r="AD650" s="126"/>
      <c r="AE650" s="126"/>
      <c r="AF650" s="126"/>
      <c r="AG650" s="126"/>
      <c r="AH650" s="126"/>
      <c r="AI650" s="126"/>
      <c r="AJ650" s="126"/>
      <c r="AK650" s="126"/>
      <c r="AL650" s="126"/>
      <c r="AM650" s="126"/>
      <c r="AN650" s="126"/>
      <c r="AO650" s="126"/>
      <c r="AP650" s="126"/>
      <c r="AQ650" s="126"/>
      <c r="AR650" s="126"/>
      <c r="AS650" s="126"/>
      <c r="AT650" s="126"/>
      <c r="AU650" s="126"/>
      <c r="AV650" s="126"/>
      <c r="AW650" s="126"/>
      <c r="AX650" s="126"/>
      <c r="AY650" s="126"/>
      <c r="AZ650" s="126"/>
      <c r="BA650" s="126"/>
      <c r="BB650" s="126"/>
      <c r="BC650" s="126"/>
      <c r="BD650" s="126"/>
      <c r="BE650" s="126"/>
    </row>
    <row r="651" spans="1:9">
      <c r="A651" s="187"/>
      <c r="B651" s="182" t="s">
        <v>410</v>
      </c>
      <c r="C651" s="183" t="s">
        <v>610</v>
      </c>
      <c r="D651" s="184"/>
      <c r="E651" s="185"/>
      <c r="F651" s="185"/>
      <c r="G651" s="183"/>
      <c r="H651" s="186">
        <f>7*3</f>
        <v>21</v>
      </c>
      <c r="I651" s="187"/>
    </row>
    <row r="652" customFormat="1" ht="30" spans="1:9">
      <c r="A652" s="187"/>
      <c r="B652" s="182"/>
      <c r="C652" s="183" t="s">
        <v>611</v>
      </c>
      <c r="D652" s="184"/>
      <c r="E652" s="185"/>
      <c r="F652" s="185"/>
      <c r="G652" s="183"/>
      <c r="H652" s="186">
        <v>2.5</v>
      </c>
      <c r="I652" s="187"/>
    </row>
    <row r="653" customFormat="1" spans="1:9">
      <c r="A653" s="187"/>
      <c r="B653" s="187"/>
      <c r="C653" s="188"/>
      <c r="D653" s="189"/>
      <c r="E653" s="187"/>
      <c r="F653" s="187"/>
      <c r="G653" s="190"/>
      <c r="H653" s="186"/>
      <c r="I653" s="187"/>
    </row>
    <row r="654" s="125" customFormat="1" ht="51" spans="1:57">
      <c r="A654" s="175" t="s">
        <v>368</v>
      </c>
      <c r="B654" s="176" t="str">
        <f>VLOOKUP(A654,Planilha!$A$11:$I$39026,4,FALSE)</f>
        <v>Ponto padrão de luz no teto - considerando eletroduto PVC rígido de 3/4" inclusive conexões (4.5m), fio isolado PVC de 2.5mm2 (16.2m) e caixa PVC 4x4" (1 und)</v>
      </c>
      <c r="C654" s="177" t="str">
        <f>VLOOKUP($A654,Planilha!$A$11:$I$39026,5,FALSE)</f>
        <v>und</v>
      </c>
      <c r="D654" s="178" t="s">
        <v>405</v>
      </c>
      <c r="E654" s="179" t="s">
        <v>538</v>
      </c>
      <c r="F654" s="179" t="s">
        <v>539</v>
      </c>
      <c r="G654" s="179"/>
      <c r="H654" s="180" t="s">
        <v>457</v>
      </c>
      <c r="I654" s="219">
        <f>SUM(H655)</f>
        <v>1</v>
      </c>
      <c r="J654" s="126"/>
      <c r="K654" s="126"/>
      <c r="L654" s="126"/>
      <c r="M654" s="126"/>
      <c r="N654" s="126"/>
      <c r="O654" s="126"/>
      <c r="P654" s="126"/>
      <c r="Q654" s="126"/>
      <c r="R654" s="126"/>
      <c r="S654" s="126"/>
      <c r="T654" s="126"/>
      <c r="U654" s="126"/>
      <c r="V654" s="126"/>
      <c r="W654" s="126"/>
      <c r="X654" s="126"/>
      <c r="Y654" s="126"/>
      <c r="Z654" s="126"/>
      <c r="AA654" s="126"/>
      <c r="AB654" s="126"/>
      <c r="AC654" s="126"/>
      <c r="AD654" s="126"/>
      <c r="AE654" s="126"/>
      <c r="AF654" s="126"/>
      <c r="AG654" s="126"/>
      <c r="AH654" s="126"/>
      <c r="AI654" s="126"/>
      <c r="AJ654" s="126"/>
      <c r="AK654" s="126"/>
      <c r="AL654" s="126"/>
      <c r="AM654" s="126"/>
      <c r="AN654" s="126"/>
      <c r="AO654" s="126"/>
      <c r="AP654" s="126"/>
      <c r="AQ654" s="126"/>
      <c r="AR654" s="126"/>
      <c r="AS654" s="126"/>
      <c r="AT654" s="126"/>
      <c r="AU654" s="126"/>
      <c r="AV654" s="126"/>
      <c r="AW654" s="126"/>
      <c r="AX654" s="126"/>
      <c r="AY654" s="126"/>
      <c r="AZ654" s="126"/>
      <c r="BA654" s="126"/>
      <c r="BB654" s="126"/>
      <c r="BC654" s="126"/>
      <c r="BD654" s="126"/>
      <c r="BE654" s="126"/>
    </row>
    <row r="655" spans="1:9">
      <c r="A655" s="187"/>
      <c r="B655" s="182" t="s">
        <v>410</v>
      </c>
      <c r="C655" s="183" t="s">
        <v>612</v>
      </c>
      <c r="D655" s="184"/>
      <c r="E655" s="185"/>
      <c r="F655" s="185"/>
      <c r="G655" s="183"/>
      <c r="H655" s="186">
        <v>1</v>
      </c>
      <c r="I655" s="187"/>
    </row>
    <row r="656" customFormat="1" spans="1:9">
      <c r="A656" s="187"/>
      <c r="B656" s="187"/>
      <c r="C656" s="188"/>
      <c r="D656" s="189"/>
      <c r="E656" s="187"/>
      <c r="F656" s="187"/>
      <c r="G656" s="190"/>
      <c r="H656" s="186"/>
      <c r="I656" s="187"/>
    </row>
    <row r="657" s="125" customFormat="1" ht="51" spans="1:57">
      <c r="A657" s="175" t="s">
        <v>369</v>
      </c>
      <c r="B657" s="176" t="str">
        <f>VLOOKUP(A657,Planilha!$A$11:$I$39026,4,FALSE)</f>
        <v>Ponto padrão de tomada 2 pólos mais terra - considerando eletroduto PVC rígido de 3/4" inclusive conexões (5.0m), fio isolado PVC de 2.5mm2 (16.5m) e caixa pvc 4x2" (1 und)</v>
      </c>
      <c r="C657" s="177" t="str">
        <f>VLOOKUP($A657,Planilha!$A$11:$I$39026,5,FALSE)</f>
        <v>und</v>
      </c>
      <c r="D657" s="178" t="s">
        <v>405</v>
      </c>
      <c r="E657" s="179" t="s">
        <v>538</v>
      </c>
      <c r="F657" s="179" t="s">
        <v>539</v>
      </c>
      <c r="G657" s="179"/>
      <c r="H657" s="180" t="s">
        <v>457</v>
      </c>
      <c r="I657" s="219">
        <f>SUM(H658:H659)</f>
        <v>2</v>
      </c>
      <c r="J657" s="126"/>
      <c r="K657" s="126"/>
      <c r="L657" s="126"/>
      <c r="M657" s="126"/>
      <c r="N657" s="126"/>
      <c r="O657" s="126"/>
      <c r="P657" s="126"/>
      <c r="Q657" s="126"/>
      <c r="R657" s="126"/>
      <c r="S657" s="126"/>
      <c r="T657" s="126"/>
      <c r="U657" s="126"/>
      <c r="V657" s="126"/>
      <c r="W657" s="126"/>
      <c r="X657" s="126"/>
      <c r="Y657" s="126"/>
      <c r="Z657" s="126"/>
      <c r="AA657" s="126"/>
      <c r="AB657" s="126"/>
      <c r="AC657" s="126"/>
      <c r="AD657" s="126"/>
      <c r="AE657" s="126"/>
      <c r="AF657" s="126"/>
      <c r="AG657" s="126"/>
      <c r="AH657" s="126"/>
      <c r="AI657" s="126"/>
      <c r="AJ657" s="126"/>
      <c r="AK657" s="126"/>
      <c r="AL657" s="126"/>
      <c r="AM657" s="126"/>
      <c r="AN657" s="126"/>
      <c r="AO657" s="126"/>
      <c r="AP657" s="126"/>
      <c r="AQ657" s="126"/>
      <c r="AR657" s="126"/>
      <c r="AS657" s="126"/>
      <c r="AT657" s="126"/>
      <c r="AU657" s="126"/>
      <c r="AV657" s="126"/>
      <c r="AW657" s="126"/>
      <c r="AX657" s="126"/>
      <c r="AY657" s="126"/>
      <c r="AZ657" s="126"/>
      <c r="BA657" s="126"/>
      <c r="BB657" s="126"/>
      <c r="BC657" s="126"/>
      <c r="BD657" s="126"/>
      <c r="BE657" s="126"/>
    </row>
    <row r="658" spans="1:9">
      <c r="A658" s="187"/>
      <c r="B658" s="182" t="s">
        <v>410</v>
      </c>
      <c r="C658" s="183" t="s">
        <v>613</v>
      </c>
      <c r="D658" s="184"/>
      <c r="E658" s="185"/>
      <c r="F658" s="185"/>
      <c r="G658" s="183"/>
      <c r="H658" s="186">
        <v>1</v>
      </c>
      <c r="I658" s="187"/>
    </row>
    <row r="659" spans="1:9">
      <c r="A659" s="187"/>
      <c r="B659" s="187"/>
      <c r="C659" s="188" t="s">
        <v>614</v>
      </c>
      <c r="D659" s="189"/>
      <c r="E659" s="187"/>
      <c r="F659" s="187"/>
      <c r="G659" s="190"/>
      <c r="H659" s="191">
        <v>1</v>
      </c>
      <c r="I659" s="187"/>
    </row>
    <row r="660" customFormat="1" spans="1:9">
      <c r="A660" s="187"/>
      <c r="B660" s="187"/>
      <c r="C660" s="188"/>
      <c r="D660" s="189"/>
      <c r="E660" s="187"/>
      <c r="F660" s="187"/>
      <c r="G660" s="190"/>
      <c r="H660" s="186"/>
      <c r="I660" s="187"/>
    </row>
    <row r="661" s="125" customFormat="1" ht="63.75" spans="1:57">
      <c r="A661" s="175" t="s">
        <v>370</v>
      </c>
      <c r="B661" s="176" t="s">
        <v>371</v>
      </c>
      <c r="C661" s="177" t="str">
        <f>VLOOKUP($A661,Planilha!$A$11:$I$39026,5,FALSE)</f>
        <v>und</v>
      </c>
      <c r="D661" s="178" t="s">
        <v>405</v>
      </c>
      <c r="E661" s="179" t="s">
        <v>538</v>
      </c>
      <c r="F661" s="179" t="s">
        <v>539</v>
      </c>
      <c r="G661" s="179"/>
      <c r="H661" s="180" t="s">
        <v>457</v>
      </c>
      <c r="I661" s="219">
        <f>SUM(H662)</f>
        <v>1</v>
      </c>
      <c r="J661" s="126"/>
      <c r="K661" s="126"/>
      <c r="L661" s="126"/>
      <c r="M661" s="126"/>
      <c r="N661" s="126"/>
      <c r="O661" s="126"/>
      <c r="P661" s="126"/>
      <c r="Q661" s="126"/>
      <c r="R661" s="126"/>
      <c r="S661" s="126"/>
      <c r="T661" s="126"/>
      <c r="U661" s="126"/>
      <c r="V661" s="126"/>
      <c r="W661" s="126"/>
      <c r="X661" s="126"/>
      <c r="Y661" s="126"/>
      <c r="Z661" s="126"/>
      <c r="AA661" s="126"/>
      <c r="AB661" s="126"/>
      <c r="AC661" s="126"/>
      <c r="AD661" s="126"/>
      <c r="AE661" s="126"/>
      <c r="AF661" s="126"/>
      <c r="AG661" s="126"/>
      <c r="AH661" s="126"/>
      <c r="AI661" s="126"/>
      <c r="AJ661" s="126"/>
      <c r="AK661" s="126"/>
      <c r="AL661" s="126"/>
      <c r="AM661" s="126"/>
      <c r="AN661" s="126"/>
      <c r="AO661" s="126"/>
      <c r="AP661" s="126"/>
      <c r="AQ661" s="126"/>
      <c r="AR661" s="126"/>
      <c r="AS661" s="126"/>
      <c r="AT661" s="126"/>
      <c r="AU661" s="126"/>
      <c r="AV661" s="126"/>
      <c r="AW661" s="126"/>
      <c r="AX661" s="126"/>
      <c r="AY661" s="126"/>
      <c r="AZ661" s="126"/>
      <c r="BA661" s="126"/>
      <c r="BB661" s="126"/>
      <c r="BC661" s="126"/>
      <c r="BD661" s="126"/>
      <c r="BE661" s="126"/>
    </row>
    <row r="662" spans="1:9">
      <c r="A662" s="187"/>
      <c r="B662" s="182" t="s">
        <v>410</v>
      </c>
      <c r="C662" s="183" t="s">
        <v>506</v>
      </c>
      <c r="D662" s="184"/>
      <c r="E662" s="185"/>
      <c r="F662" s="185"/>
      <c r="G662" s="183"/>
      <c r="H662" s="186">
        <v>1</v>
      </c>
      <c r="I662" s="187"/>
    </row>
    <row r="663" spans="1:9">
      <c r="A663" s="187"/>
      <c r="B663" s="187"/>
      <c r="C663" s="188"/>
      <c r="D663" s="189"/>
      <c r="E663" s="187"/>
      <c r="F663" s="187"/>
      <c r="G663" s="190"/>
      <c r="H663" s="191"/>
      <c r="I663" s="187"/>
    </row>
    <row r="664" s="125" customFormat="1" ht="51" spans="1:57">
      <c r="A664" s="175" t="s">
        <v>372</v>
      </c>
      <c r="B664" s="176" t="str">
        <f>VLOOKUP(A664,Planilha!$A$11:$I$39026,4,FALSE)</f>
        <v>Caixa de aterramento de concreto simples, nas dimensões de 30x30x25cm, com revest. int. em chapisco e reboco, tampa de concreto esp.5cm e lastro de brita esp. 5 cm, incl. haste 5/8"x2400mm</v>
      </c>
      <c r="C664" s="177" t="str">
        <f>VLOOKUP($A664,Planilha!$A$11:$I$39026,5,FALSE)</f>
        <v>und</v>
      </c>
      <c r="D664" s="178" t="s">
        <v>405</v>
      </c>
      <c r="E664" s="179" t="s">
        <v>538</v>
      </c>
      <c r="F664" s="179" t="s">
        <v>539</v>
      </c>
      <c r="G664" s="179"/>
      <c r="H664" s="180" t="s">
        <v>457</v>
      </c>
      <c r="I664" s="219">
        <f>SUM(H665)</f>
        <v>1</v>
      </c>
      <c r="J664" s="126"/>
      <c r="K664" s="126"/>
      <c r="L664" s="126"/>
      <c r="M664" s="126"/>
      <c r="N664" s="126"/>
      <c r="O664" s="126"/>
      <c r="P664" s="126"/>
      <c r="Q664" s="126"/>
      <c r="R664" s="126"/>
      <c r="S664" s="126"/>
      <c r="T664" s="126"/>
      <c r="U664" s="126"/>
      <c r="V664" s="126"/>
      <c r="W664" s="126"/>
      <c r="X664" s="126"/>
      <c r="Y664" s="126"/>
      <c r="Z664" s="126"/>
      <c r="AA664" s="126"/>
      <c r="AB664" s="126"/>
      <c r="AC664" s="126"/>
      <c r="AD664" s="126"/>
      <c r="AE664" s="126"/>
      <c r="AF664" s="126"/>
      <c r="AG664" s="126"/>
      <c r="AH664" s="126"/>
      <c r="AI664" s="126"/>
      <c r="AJ664" s="126"/>
      <c r="AK664" s="126"/>
      <c r="AL664" s="126"/>
      <c r="AM664" s="126"/>
      <c r="AN664" s="126"/>
      <c r="AO664" s="126"/>
      <c r="AP664" s="126"/>
      <c r="AQ664" s="126"/>
      <c r="AR664" s="126"/>
      <c r="AS664" s="126"/>
      <c r="AT664" s="126"/>
      <c r="AU664" s="126"/>
      <c r="AV664" s="126"/>
      <c r="AW664" s="126"/>
      <c r="AX664" s="126"/>
      <c r="AY664" s="126"/>
      <c r="AZ664" s="126"/>
      <c r="BA664" s="126"/>
      <c r="BB664" s="126"/>
      <c r="BC664" s="126"/>
      <c r="BD664" s="126"/>
      <c r="BE664" s="126"/>
    </row>
    <row r="665" customFormat="1" spans="1:9">
      <c r="A665" s="187"/>
      <c r="B665" s="182" t="s">
        <v>410</v>
      </c>
      <c r="C665" s="183"/>
      <c r="D665" s="184"/>
      <c r="E665" s="185"/>
      <c r="F665" s="185"/>
      <c r="G665" s="183"/>
      <c r="H665" s="186">
        <v>1</v>
      </c>
      <c r="I665" s="187"/>
    </row>
    <row r="666" customFormat="1" spans="1:9">
      <c r="A666" s="187"/>
      <c r="B666" s="182"/>
      <c r="C666" s="183"/>
      <c r="D666" s="184"/>
      <c r="E666" s="185"/>
      <c r="F666" s="185"/>
      <c r="G666" s="183"/>
      <c r="H666" s="186"/>
      <c r="I666" s="187"/>
    </row>
    <row r="667" s="125" customFormat="1" ht="25.5" spans="1:57">
      <c r="A667" s="175" t="s">
        <v>374</v>
      </c>
      <c r="B667" s="176" t="str">
        <f>VLOOKUP(A667,Planilha!$A$11:$I$39026,4,FALSE)</f>
        <v>Eletroduto de PVC rígido roscável, diâm. 1/2" (20mm), inclusive conexões</v>
      </c>
      <c r="C667" s="177" t="str">
        <f>VLOOKUP($A667,Planilha!$A$11:$I$39026,5,FALSE)</f>
        <v>m</v>
      </c>
      <c r="D667" s="178" t="s">
        <v>405</v>
      </c>
      <c r="E667" s="179" t="s">
        <v>538</v>
      </c>
      <c r="F667" s="179" t="s">
        <v>539</v>
      </c>
      <c r="G667" s="179"/>
      <c r="H667" s="180" t="s">
        <v>457</v>
      </c>
      <c r="I667" s="219">
        <f>SUM(H668:H668)</f>
        <v>1.5</v>
      </c>
      <c r="J667" s="126"/>
      <c r="K667" s="126"/>
      <c r="L667" s="126"/>
      <c r="M667" s="126"/>
      <c r="N667" s="126"/>
      <c r="O667" s="126"/>
      <c r="P667" s="126"/>
      <c r="Q667" s="126"/>
      <c r="R667" s="126"/>
      <c r="S667" s="126"/>
      <c r="T667" s="126"/>
      <c r="U667" s="126"/>
      <c r="V667" s="126"/>
      <c r="W667" s="126"/>
      <c r="X667" s="126"/>
      <c r="Y667" s="126"/>
      <c r="Z667" s="126"/>
      <c r="AA667" s="126"/>
      <c r="AB667" s="126"/>
      <c r="AC667" s="126"/>
      <c r="AD667" s="126"/>
      <c r="AE667" s="126"/>
      <c r="AF667" s="126"/>
      <c r="AG667" s="126"/>
      <c r="AH667" s="126"/>
      <c r="AI667" s="126"/>
      <c r="AJ667" s="126"/>
      <c r="AK667" s="126"/>
      <c r="AL667" s="126"/>
      <c r="AM667" s="126"/>
      <c r="AN667" s="126"/>
      <c r="AO667" s="126"/>
      <c r="AP667" s="126"/>
      <c r="AQ667" s="126"/>
      <c r="AR667" s="126"/>
      <c r="AS667" s="126"/>
      <c r="AT667" s="126"/>
      <c r="AU667" s="126"/>
      <c r="AV667" s="126"/>
      <c r="AW667" s="126"/>
      <c r="AX667" s="126"/>
      <c r="AY667" s="126"/>
      <c r="AZ667" s="126"/>
      <c r="BA667" s="126"/>
      <c r="BB667" s="126"/>
      <c r="BC667" s="126"/>
      <c r="BD667" s="126"/>
      <c r="BE667" s="126"/>
    </row>
    <row r="668" customFormat="1" ht="30" spans="1:9">
      <c r="A668" s="187"/>
      <c r="B668" s="182"/>
      <c r="C668" s="183" t="s">
        <v>615</v>
      </c>
      <c r="D668" s="184"/>
      <c r="E668" s="185"/>
      <c r="F668" s="185"/>
      <c r="G668" s="183"/>
      <c r="H668" s="186">
        <v>1.5</v>
      </c>
      <c r="I668" s="187"/>
    </row>
    <row r="669" customFormat="1" spans="1:9">
      <c r="A669" s="187"/>
      <c r="B669" s="182"/>
      <c r="C669" s="183"/>
      <c r="D669" s="184"/>
      <c r="E669" s="185"/>
      <c r="F669" s="185"/>
      <c r="G669" s="183"/>
      <c r="H669" s="186"/>
      <c r="I669" s="187"/>
    </row>
    <row r="670" s="125" customFormat="1" ht="25.5" spans="1:57">
      <c r="A670" s="175" t="s">
        <v>376</v>
      </c>
      <c r="B670" s="176" t="str">
        <f>VLOOKUP(A670,Planilha!$A$11:$I$39026,4,FALSE)</f>
        <v>Eletroduto flexível corrugado 3/4" , marca de referência TIGRE</v>
      </c>
      <c r="C670" s="177" t="str">
        <f>VLOOKUP($A670,Planilha!$A$11:$I$39026,5,FALSE)</f>
        <v>m</v>
      </c>
      <c r="D670" s="178" t="s">
        <v>405</v>
      </c>
      <c r="E670" s="179" t="s">
        <v>538</v>
      </c>
      <c r="F670" s="179" t="s">
        <v>539</v>
      </c>
      <c r="G670" s="179"/>
      <c r="H670" s="180" t="s">
        <v>457</v>
      </c>
      <c r="I670" s="219">
        <f>SUM(H671)</f>
        <v>7</v>
      </c>
      <c r="J670" s="126"/>
      <c r="K670" s="126"/>
      <c r="L670" s="126"/>
      <c r="M670" s="126"/>
      <c r="N670" s="126"/>
      <c r="O670" s="126"/>
      <c r="P670" s="126"/>
      <c r="Q670" s="126"/>
      <c r="R670" s="126"/>
      <c r="S670" s="126"/>
      <c r="T670" s="126"/>
      <c r="U670" s="126"/>
      <c r="V670" s="126"/>
      <c r="W670" s="126"/>
      <c r="X670" s="126"/>
      <c r="Y670" s="126"/>
      <c r="Z670" s="126"/>
      <c r="AA670" s="126"/>
      <c r="AB670" s="126"/>
      <c r="AC670" s="126"/>
      <c r="AD670" s="126"/>
      <c r="AE670" s="126"/>
      <c r="AF670" s="126"/>
      <c r="AG670" s="126"/>
      <c r="AH670" s="126"/>
      <c r="AI670" s="126"/>
      <c r="AJ670" s="126"/>
      <c r="AK670" s="126"/>
      <c r="AL670" s="126"/>
      <c r="AM670" s="126"/>
      <c r="AN670" s="126"/>
      <c r="AO670" s="126"/>
      <c r="AP670" s="126"/>
      <c r="AQ670" s="126"/>
      <c r="AR670" s="126"/>
      <c r="AS670" s="126"/>
      <c r="AT670" s="126"/>
      <c r="AU670" s="126"/>
      <c r="AV670" s="126"/>
      <c r="AW670" s="126"/>
      <c r="AX670" s="126"/>
      <c r="AY670" s="126"/>
      <c r="AZ670" s="126"/>
      <c r="BA670" s="126"/>
      <c r="BB670" s="126"/>
      <c r="BC670" s="126"/>
      <c r="BD670" s="126"/>
      <c r="BE670" s="126"/>
    </row>
    <row r="671" customFormat="1" spans="1:9">
      <c r="A671" s="187"/>
      <c r="B671" s="182" t="s">
        <v>410</v>
      </c>
      <c r="C671" s="183" t="s">
        <v>616</v>
      </c>
      <c r="D671" s="184"/>
      <c r="E671" s="185"/>
      <c r="F671" s="185"/>
      <c r="G671" s="183"/>
      <c r="H671" s="186">
        <v>7</v>
      </c>
      <c r="I671" s="187"/>
    </row>
    <row r="672" customFormat="1" spans="1:9">
      <c r="A672" s="187"/>
      <c r="B672" s="187"/>
      <c r="C672" s="188"/>
      <c r="D672" s="189"/>
      <c r="E672" s="187"/>
      <c r="F672" s="187"/>
      <c r="G672" s="190"/>
      <c r="H672" s="186"/>
      <c r="I672" s="187"/>
    </row>
    <row r="673" s="125" customFormat="1" ht="51" spans="1:57">
      <c r="A673" s="175" t="s">
        <v>379</v>
      </c>
      <c r="B673" s="176" t="str">
        <f>VLOOKUP(A673,Planilha!$A$11:$I$39026,4,FALSE)</f>
        <v>Luminária para uma lâmpada fluorescente 20W, completa, c/ reator simples-127V partida rápida alto fator de potência, soquete antivibratório e lâmpada fluorescente 20W-127V</v>
      </c>
      <c r="C673" s="177" t="str">
        <f>VLOOKUP($A673,Planilha!$A$11:$I$39026,5,FALSE)</f>
        <v>und</v>
      </c>
      <c r="D673" s="178" t="s">
        <v>405</v>
      </c>
      <c r="E673" s="179" t="s">
        <v>538</v>
      </c>
      <c r="F673" s="179" t="s">
        <v>539</v>
      </c>
      <c r="G673" s="179"/>
      <c r="H673" s="180" t="s">
        <v>457</v>
      </c>
      <c r="I673" s="219">
        <f>SUM(H674)</f>
        <v>1</v>
      </c>
      <c r="J673" s="126"/>
      <c r="K673" s="126"/>
      <c r="L673" s="126"/>
      <c r="M673" s="126"/>
      <c r="N673" s="126"/>
      <c r="O673" s="126"/>
      <c r="P673" s="126"/>
      <c r="Q673" s="126"/>
      <c r="R673" s="126"/>
      <c r="S673" s="126"/>
      <c r="T673" s="126"/>
      <c r="U673" s="126"/>
      <c r="V673" s="126"/>
      <c r="W673" s="126"/>
      <c r="X673" s="126"/>
      <c r="Y673" s="126"/>
      <c r="Z673" s="126"/>
      <c r="AA673" s="126"/>
      <c r="AB673" s="126"/>
      <c r="AC673" s="126"/>
      <c r="AD673" s="126"/>
      <c r="AE673" s="126"/>
      <c r="AF673" s="126"/>
      <c r="AG673" s="126"/>
      <c r="AH673" s="126"/>
      <c r="AI673" s="126"/>
      <c r="AJ673" s="126"/>
      <c r="AK673" s="126"/>
      <c r="AL673" s="126"/>
      <c r="AM673" s="126"/>
      <c r="AN673" s="126"/>
      <c r="AO673" s="126"/>
      <c r="AP673" s="126"/>
      <c r="AQ673" s="126"/>
      <c r="AR673" s="126"/>
      <c r="AS673" s="126"/>
      <c r="AT673" s="126"/>
      <c r="AU673" s="126"/>
      <c r="AV673" s="126"/>
      <c r="AW673" s="126"/>
      <c r="AX673" s="126"/>
      <c r="AY673" s="126"/>
      <c r="AZ673" s="126"/>
      <c r="BA673" s="126"/>
      <c r="BB673" s="126"/>
      <c r="BC673" s="126"/>
      <c r="BD673" s="126"/>
      <c r="BE673" s="126"/>
    </row>
    <row r="674" spans="1:9">
      <c r="A674" s="187"/>
      <c r="B674" s="182" t="s">
        <v>410</v>
      </c>
      <c r="C674" s="183" t="s">
        <v>506</v>
      </c>
      <c r="D674" s="184"/>
      <c r="E674" s="185"/>
      <c r="F674" s="185"/>
      <c r="G674" s="183"/>
      <c r="H674" s="186">
        <v>1</v>
      </c>
      <c r="I674" s="187"/>
    </row>
    <row r="675" spans="1:9">
      <c r="A675" s="187"/>
      <c r="B675" s="187"/>
      <c r="C675" s="188"/>
      <c r="D675" s="189"/>
      <c r="E675" s="187"/>
      <c r="F675" s="187"/>
      <c r="G675" s="190"/>
      <c r="H675" s="191"/>
      <c r="I675" s="187"/>
    </row>
    <row r="676" s="125" customFormat="1" ht="38.25" spans="1:57">
      <c r="A676" s="175" t="s">
        <v>380</v>
      </c>
      <c r="B676" s="176" t="str">
        <f>VLOOKUP(A676,Planilha!$A$11:$I$39026,4,FALSE)</f>
        <v>Interruptor de uma tecla simples 10A/250V e uma tomada 3 polos 10A/250V, padrão brasileiro, NBR 14136, linha branca, com placa 4x2"</v>
      </c>
      <c r="C676" s="177" t="str">
        <f>VLOOKUP($A676,Planilha!$A$11:$I$39026,5,FALSE)</f>
        <v>und</v>
      </c>
      <c r="D676" s="178" t="s">
        <v>405</v>
      </c>
      <c r="E676" s="179" t="s">
        <v>538</v>
      </c>
      <c r="F676" s="179" t="s">
        <v>539</v>
      </c>
      <c r="G676" s="179"/>
      <c r="H676" s="180" t="s">
        <v>457</v>
      </c>
      <c r="I676" s="219">
        <f>SUM(H677)</f>
        <v>1</v>
      </c>
      <c r="J676" s="126"/>
      <c r="K676" s="126"/>
      <c r="L676" s="126"/>
      <c r="M676" s="126"/>
      <c r="N676" s="126"/>
      <c r="O676" s="126"/>
      <c r="P676" s="126"/>
      <c r="Q676" s="126"/>
      <c r="R676" s="126"/>
      <c r="S676" s="126"/>
      <c r="T676" s="126"/>
      <c r="U676" s="126"/>
      <c r="V676" s="126"/>
      <c r="W676" s="126"/>
      <c r="X676" s="126"/>
      <c r="Y676" s="126"/>
      <c r="Z676" s="126"/>
      <c r="AA676" s="126"/>
      <c r="AB676" s="126"/>
      <c r="AC676" s="126"/>
      <c r="AD676" s="126"/>
      <c r="AE676" s="126"/>
      <c r="AF676" s="126"/>
      <c r="AG676" s="126"/>
      <c r="AH676" s="126"/>
      <c r="AI676" s="126"/>
      <c r="AJ676" s="126"/>
      <c r="AK676" s="126"/>
      <c r="AL676" s="126"/>
      <c r="AM676" s="126"/>
      <c r="AN676" s="126"/>
      <c r="AO676" s="126"/>
      <c r="AP676" s="126"/>
      <c r="AQ676" s="126"/>
      <c r="AR676" s="126"/>
      <c r="AS676" s="126"/>
      <c r="AT676" s="126"/>
      <c r="AU676" s="126"/>
      <c r="AV676" s="126"/>
      <c r="AW676" s="126"/>
      <c r="AX676" s="126"/>
      <c r="AY676" s="126"/>
      <c r="AZ676" s="126"/>
      <c r="BA676" s="126"/>
      <c r="BB676" s="126"/>
      <c r="BC676" s="126"/>
      <c r="BD676" s="126"/>
      <c r="BE676" s="126"/>
    </row>
    <row r="677" spans="1:9">
      <c r="A677" s="187"/>
      <c r="B677" s="182" t="s">
        <v>410</v>
      </c>
      <c r="C677" s="183" t="s">
        <v>506</v>
      </c>
      <c r="D677" s="184"/>
      <c r="E677" s="185"/>
      <c r="F677" s="185"/>
      <c r="G677" s="183"/>
      <c r="H677" s="186">
        <v>1</v>
      </c>
      <c r="I677" s="187"/>
    </row>
    <row r="678" spans="1:9">
      <c r="A678" s="187"/>
      <c r="B678" s="187"/>
      <c r="C678" s="188"/>
      <c r="D678" s="189"/>
      <c r="E678" s="187"/>
      <c r="F678" s="187"/>
      <c r="G678" s="190"/>
      <c r="H678" s="191"/>
      <c r="I678" s="187"/>
    </row>
    <row r="679" s="125" customFormat="1" ht="25.5" spans="1:57">
      <c r="A679" s="175" t="s">
        <v>382</v>
      </c>
      <c r="B679" s="176" t="str">
        <f>VLOOKUP(A679,Planilha!$A$11:$I$39026,4,FALSE)</f>
        <v>Tomada padrão brasileiro linha branca, NBR 14136 2 polos + terra 20A/250V, com placa 4x2"</v>
      </c>
      <c r="C679" s="177" t="str">
        <f>VLOOKUP($A679,Planilha!$A$11:$I$39026,5,FALSE)</f>
        <v>und</v>
      </c>
      <c r="D679" s="178" t="s">
        <v>405</v>
      </c>
      <c r="E679" s="179" t="s">
        <v>538</v>
      </c>
      <c r="F679" s="179" t="s">
        <v>539</v>
      </c>
      <c r="G679" s="179"/>
      <c r="H679" s="180" t="s">
        <v>457</v>
      </c>
      <c r="I679" s="219">
        <f>SUM(H680)</f>
        <v>1</v>
      </c>
      <c r="J679" s="126"/>
      <c r="K679" s="126"/>
      <c r="L679" s="126"/>
      <c r="M679" s="126"/>
      <c r="N679" s="126"/>
      <c r="O679" s="126"/>
      <c r="P679" s="126"/>
      <c r="Q679" s="126"/>
      <c r="R679" s="126"/>
      <c r="S679" s="126"/>
      <c r="T679" s="126"/>
      <c r="U679" s="126"/>
      <c r="V679" s="126"/>
      <c r="W679" s="126"/>
      <c r="X679" s="126"/>
      <c r="Y679" s="126"/>
      <c r="Z679" s="126"/>
      <c r="AA679" s="126"/>
      <c r="AB679" s="126"/>
      <c r="AC679" s="126"/>
      <c r="AD679" s="126"/>
      <c r="AE679" s="126"/>
      <c r="AF679" s="126"/>
      <c r="AG679" s="126"/>
      <c r="AH679" s="126"/>
      <c r="AI679" s="126"/>
      <c r="AJ679" s="126"/>
      <c r="AK679" s="126"/>
      <c r="AL679" s="126"/>
      <c r="AM679" s="126"/>
      <c r="AN679" s="126"/>
      <c r="AO679" s="126"/>
      <c r="AP679" s="126"/>
      <c r="AQ679" s="126"/>
      <c r="AR679" s="126"/>
      <c r="AS679" s="126"/>
      <c r="AT679" s="126"/>
      <c r="AU679" s="126"/>
      <c r="AV679" s="126"/>
      <c r="AW679" s="126"/>
      <c r="AX679" s="126"/>
      <c r="AY679" s="126"/>
      <c r="AZ679" s="126"/>
      <c r="BA679" s="126"/>
      <c r="BB679" s="126"/>
      <c r="BC679" s="126"/>
      <c r="BD679" s="126"/>
      <c r="BE679" s="126"/>
    </row>
    <row r="680" spans="1:9">
      <c r="A680" s="187"/>
      <c r="B680" s="182" t="s">
        <v>410</v>
      </c>
      <c r="C680" s="183" t="s">
        <v>617</v>
      </c>
      <c r="D680" s="184"/>
      <c r="E680" s="185"/>
      <c r="F680" s="185"/>
      <c r="G680" s="183"/>
      <c r="H680" s="186">
        <v>1</v>
      </c>
      <c r="I680" s="187"/>
    </row>
    <row r="681" spans="1:9">
      <c r="A681" s="187"/>
      <c r="B681" s="187"/>
      <c r="C681" s="188"/>
      <c r="D681" s="189"/>
      <c r="E681" s="187"/>
      <c r="F681" s="187"/>
      <c r="G681" s="190"/>
      <c r="H681" s="191"/>
      <c r="I681" s="187"/>
    </row>
    <row r="682" s="125" customFormat="1" ht="38.25" spans="1:57">
      <c r="A682" s="175" t="s">
        <v>384</v>
      </c>
      <c r="B682" s="176" t="str">
        <f>VLOOKUP(A682,Planilha!$A$11:$I$39026,4,FALSE)</f>
        <v>Pintura com tinta acrílica, marcas de referência Suvinil, Coral ou Metalatex, inclusive selador acrílico, em paredes e forros, a três demãos</v>
      </c>
      <c r="C682" s="177" t="str">
        <f>VLOOKUP($A682,Planilha!$A$11:$I$39026,5,FALSE)</f>
        <v>m²</v>
      </c>
      <c r="D682" s="178" t="s">
        <v>405</v>
      </c>
      <c r="E682" s="179" t="s">
        <v>406</v>
      </c>
      <c r="F682" s="179" t="s">
        <v>407</v>
      </c>
      <c r="G682" s="179" t="s">
        <v>431</v>
      </c>
      <c r="H682" s="180" t="s">
        <v>409</v>
      </c>
      <c r="I682" s="219">
        <f>SUM(H683)</f>
        <v>38.87</v>
      </c>
      <c r="J682" s="126"/>
      <c r="K682" s="126"/>
      <c r="L682" s="126"/>
      <c r="M682" s="126"/>
      <c r="N682" s="126"/>
      <c r="O682" s="126"/>
      <c r="P682" s="126"/>
      <c r="Q682" s="126"/>
      <c r="R682" s="126"/>
      <c r="S682" s="126"/>
      <c r="T682" s="126"/>
      <c r="U682" s="126"/>
      <c r="V682" s="126"/>
      <c r="W682" s="126"/>
      <c r="X682" s="126"/>
      <c r="Y682" s="126"/>
      <c r="Z682" s="126"/>
      <c r="AA682" s="126"/>
      <c r="AB682" s="126"/>
      <c r="AC682" s="126"/>
      <c r="AD682" s="126"/>
      <c r="AE682" s="126"/>
      <c r="AF682" s="126"/>
      <c r="AG682" s="126"/>
      <c r="AH682" s="126"/>
      <c r="AI682" s="126"/>
      <c r="AJ682" s="126"/>
      <c r="AK682" s="126"/>
      <c r="AL682" s="126"/>
      <c r="AM682" s="126"/>
      <c r="AN682" s="126"/>
      <c r="AO682" s="126"/>
      <c r="AP682" s="126"/>
      <c r="AQ682" s="126"/>
      <c r="AR682" s="126"/>
      <c r="AS682" s="126"/>
      <c r="AT682" s="126"/>
      <c r="AU682" s="126"/>
      <c r="AV682" s="126"/>
      <c r="AW682" s="126"/>
      <c r="AX682" s="126"/>
      <c r="AY682" s="126"/>
      <c r="AZ682" s="126"/>
      <c r="BA682" s="126"/>
      <c r="BB682" s="126"/>
      <c r="BC682" s="126"/>
      <c r="BD682" s="126"/>
      <c r="BE682" s="126"/>
    </row>
    <row r="683" spans="1:9">
      <c r="A683" s="187"/>
      <c r="B683" s="182" t="s">
        <v>410</v>
      </c>
      <c r="C683" s="183" t="s">
        <v>618</v>
      </c>
      <c r="D683" s="184"/>
      <c r="E683" s="185"/>
      <c r="F683" s="185"/>
      <c r="G683" s="183"/>
      <c r="H683" s="186">
        <f>I629</f>
        <v>38.87</v>
      </c>
      <c r="I683" s="187"/>
    </row>
    <row r="684" spans="1:9">
      <c r="A684" s="187"/>
      <c r="B684" s="187"/>
      <c r="C684" s="188"/>
      <c r="D684" s="189"/>
      <c r="E684" s="187"/>
      <c r="F684" s="187"/>
      <c r="G684" s="190"/>
      <c r="H684" s="191"/>
      <c r="I684" s="187"/>
    </row>
    <row r="685" s="125" customFormat="1" ht="51" spans="1:57">
      <c r="A685" s="175" t="s">
        <v>385</v>
      </c>
      <c r="B685" s="176" t="str">
        <f>VLOOKUP(A685,Planilha!$A$11:$I$39026,4,FALSE)</f>
        <v>Pintura com tinta esmalte sintético, marcas de referência Suvinil, Coral ou Metalatex, a duas demãos, inclusive fundo anticorrosivo a uma demão, em metal</v>
      </c>
      <c r="C685" s="177" t="str">
        <f>VLOOKUP($A685,Planilha!$A$11:$I$39026,5,FALSE)</f>
        <v>m²</v>
      </c>
      <c r="D685" s="178" t="s">
        <v>405</v>
      </c>
      <c r="E685" s="179" t="s">
        <v>406</v>
      </c>
      <c r="F685" s="179" t="s">
        <v>407</v>
      </c>
      <c r="G685" s="179" t="s">
        <v>550</v>
      </c>
      <c r="H685" s="180" t="s">
        <v>409</v>
      </c>
      <c r="I685" s="219">
        <f>SUM(H686:H687)</f>
        <v>10.44</v>
      </c>
      <c r="J685" s="126"/>
      <c r="K685" s="126"/>
      <c r="L685" s="126"/>
      <c r="M685" s="126"/>
      <c r="N685" s="126"/>
      <c r="O685" s="126"/>
      <c r="P685" s="126"/>
      <c r="Q685" s="126"/>
      <c r="R685" s="126"/>
      <c r="S685" s="126"/>
      <c r="T685" s="126"/>
      <c r="U685" s="126"/>
      <c r="V685" s="126"/>
      <c r="W685" s="126"/>
      <c r="X685" s="126"/>
      <c r="Y685" s="126"/>
      <c r="Z685" s="126"/>
      <c r="AA685" s="126"/>
      <c r="AB685" s="126"/>
      <c r="AC685" s="126"/>
      <c r="AD685" s="126"/>
      <c r="AE685" s="126"/>
      <c r="AF685" s="126"/>
      <c r="AG685" s="126"/>
      <c r="AH685" s="126"/>
      <c r="AI685" s="126"/>
      <c r="AJ685" s="126"/>
      <c r="AK685" s="126"/>
      <c r="AL685" s="126"/>
      <c r="AM685" s="126"/>
      <c r="AN685" s="126"/>
      <c r="AO685" s="126"/>
      <c r="AP685" s="126"/>
      <c r="AQ685" s="126"/>
      <c r="AR685" s="126"/>
      <c r="AS685" s="126"/>
      <c r="AT685" s="126"/>
      <c r="AU685" s="126"/>
      <c r="AV685" s="126"/>
      <c r="AW685" s="126"/>
      <c r="AX685" s="126"/>
      <c r="AY685" s="126"/>
      <c r="AZ685" s="126"/>
      <c r="BA685" s="126"/>
      <c r="BB685" s="126"/>
      <c r="BC685" s="126"/>
      <c r="BD685" s="126"/>
      <c r="BE685" s="126"/>
    </row>
    <row r="686" spans="1:9">
      <c r="A686" s="187"/>
      <c r="B686" s="182" t="s">
        <v>410</v>
      </c>
      <c r="C686" s="183" t="s">
        <v>496</v>
      </c>
      <c r="D686" s="184">
        <v>2.2</v>
      </c>
      <c r="E686" s="185">
        <v>1.8</v>
      </c>
      <c r="F686" s="185"/>
      <c r="G686" s="183">
        <v>2</v>
      </c>
      <c r="H686" s="186">
        <f>G686*D686*E686</f>
        <v>7.92</v>
      </c>
      <c r="I686" s="187"/>
    </row>
    <row r="687" spans="1:9">
      <c r="A687" s="187"/>
      <c r="B687" s="187"/>
      <c r="C687" s="188" t="s">
        <v>603</v>
      </c>
      <c r="D687" s="189">
        <v>1.4</v>
      </c>
      <c r="E687" s="187">
        <v>0.9</v>
      </c>
      <c r="F687" s="187"/>
      <c r="G687" s="190">
        <v>2</v>
      </c>
      <c r="H687" s="186">
        <f>G687*D687*E687</f>
        <v>2.52</v>
      </c>
      <c r="I687" s="187"/>
    </row>
    <row r="688" spans="1:9">
      <c r="A688" s="187"/>
      <c r="B688" s="187"/>
      <c r="C688" s="188"/>
      <c r="D688" s="189"/>
      <c r="E688" s="187"/>
      <c r="F688" s="187"/>
      <c r="G688" s="190"/>
      <c r="H688" s="191"/>
      <c r="I688" s="187"/>
    </row>
    <row r="689" s="125" customFormat="1" ht="51" spans="1:57">
      <c r="A689" s="175" t="s">
        <v>388</v>
      </c>
      <c r="B689" s="176" t="str">
        <f>VLOOKUP(A689,Planilha!$A$11:$I$39026,4,FALSE)</f>
        <v>Passeio de cimentado camurçado com argamassa de cimento e areia no traço 1:3 esp. 1.5cm, e lastro de concreto com 8cm de espessura, inclusive preparo de caixa</v>
      </c>
      <c r="C689" s="177" t="str">
        <f>VLOOKUP($A689,Planilha!$A$11:$I$39026,5,FALSE)</f>
        <v>m²</v>
      </c>
      <c r="D689" s="178" t="s">
        <v>405</v>
      </c>
      <c r="E689" s="179" t="s">
        <v>406</v>
      </c>
      <c r="F689" s="179" t="s">
        <v>407</v>
      </c>
      <c r="G689" s="179" t="s">
        <v>494</v>
      </c>
      <c r="H689" s="180" t="s">
        <v>409</v>
      </c>
      <c r="I689" s="219">
        <f>SUM(H690:H690)</f>
        <v>4.85</v>
      </c>
      <c r="J689" s="126"/>
      <c r="K689" s="126"/>
      <c r="L689" s="126"/>
      <c r="M689" s="126"/>
      <c r="N689" s="126"/>
      <c r="O689" s="126"/>
      <c r="P689" s="126"/>
      <c r="Q689" s="126"/>
      <c r="R689" s="126"/>
      <c r="S689" s="126"/>
      <c r="T689" s="126"/>
      <c r="U689" s="126"/>
      <c r="V689" s="126"/>
      <c r="W689" s="126"/>
      <c r="X689" s="126"/>
      <c r="Y689" s="126"/>
      <c r="Z689" s="126"/>
      <c r="AA689" s="126"/>
      <c r="AB689" s="126"/>
      <c r="AC689" s="126"/>
      <c r="AD689" s="126"/>
      <c r="AE689" s="126"/>
      <c r="AF689" s="126"/>
      <c r="AG689" s="126"/>
      <c r="AH689" s="126"/>
      <c r="AI689" s="126"/>
      <c r="AJ689" s="126"/>
      <c r="AK689" s="126"/>
      <c r="AL689" s="126"/>
      <c r="AM689" s="126"/>
      <c r="AN689" s="126"/>
      <c r="AO689" s="126"/>
      <c r="AP689" s="126"/>
      <c r="AQ689" s="126"/>
      <c r="AR689" s="126"/>
      <c r="AS689" s="126"/>
      <c r="AT689" s="126"/>
      <c r="AU689" s="126"/>
      <c r="AV689" s="126"/>
      <c r="AW689" s="126"/>
      <c r="AX689" s="126"/>
      <c r="AY689" s="126"/>
      <c r="AZ689" s="126"/>
      <c r="BA689" s="126"/>
      <c r="BB689" s="126"/>
      <c r="BC689" s="126"/>
      <c r="BD689" s="126"/>
      <c r="BE689" s="126"/>
    </row>
    <row r="690" spans="1:9">
      <c r="A690" s="187"/>
      <c r="B690" s="187"/>
      <c r="C690" s="188" t="s">
        <v>619</v>
      </c>
      <c r="D690" s="189">
        <f>2.15*2+5.4</f>
        <v>9.7</v>
      </c>
      <c r="E690" s="187">
        <v>0.5</v>
      </c>
      <c r="F690" s="187"/>
      <c r="G690" s="190">
        <v>1</v>
      </c>
      <c r="H690" s="186">
        <f>G690*E690*D690</f>
        <v>4.85</v>
      </c>
      <c r="I690" s="187"/>
    </row>
    <row r="691" spans="1:9">
      <c r="A691" s="187"/>
      <c r="B691" s="187"/>
      <c r="C691" s="188"/>
      <c r="D691" s="189"/>
      <c r="E691" s="187"/>
      <c r="F691" s="187"/>
      <c r="G691" s="190"/>
      <c r="H691" s="191"/>
      <c r="I691" s="187"/>
    </row>
    <row r="692" s="125" customFormat="1" spans="1:57">
      <c r="A692" s="175" t="s">
        <v>390</v>
      </c>
      <c r="B692" s="176" t="str">
        <f>VLOOKUP(A692,Planilha!$A$11:$I$39026,4,FALSE)</f>
        <v>Limpeza geral da obra (edificação)</v>
      </c>
      <c r="C692" s="177" t="str">
        <f>VLOOKUP($A692,Planilha!$A$11:$I$39026,5,FALSE)</f>
        <v>m²</v>
      </c>
      <c r="D692" s="178" t="s">
        <v>405</v>
      </c>
      <c r="E692" s="179" t="s">
        <v>406</v>
      </c>
      <c r="F692" s="179" t="s">
        <v>407</v>
      </c>
      <c r="G692" s="179" t="s">
        <v>550</v>
      </c>
      <c r="H692" s="180" t="s">
        <v>409</v>
      </c>
      <c r="I692" s="219">
        <f>SUM(H693)</f>
        <v>7.51</v>
      </c>
      <c r="J692" s="126"/>
      <c r="K692" s="126"/>
      <c r="L692" s="126"/>
      <c r="M692" s="126"/>
      <c r="N692" s="126"/>
      <c r="O692" s="126"/>
      <c r="P692" s="126"/>
      <c r="Q692" s="126"/>
      <c r="R692" s="126"/>
      <c r="S692" s="126"/>
      <c r="T692" s="126"/>
      <c r="U692" s="126"/>
      <c r="V692" s="126"/>
      <c r="W692" s="126"/>
      <c r="X692" s="126"/>
      <c r="Y692" s="126"/>
      <c r="Z692" s="126"/>
      <c r="AA692" s="126"/>
      <c r="AB692" s="126"/>
      <c r="AC692" s="126"/>
      <c r="AD692" s="126"/>
      <c r="AE692" s="126"/>
      <c r="AF692" s="126"/>
      <c r="AG692" s="126"/>
      <c r="AH692" s="126"/>
      <c r="AI692" s="126"/>
      <c r="AJ692" s="126"/>
      <c r="AK692" s="126"/>
      <c r="AL692" s="126"/>
      <c r="AM692" s="126"/>
      <c r="AN692" s="126"/>
      <c r="AO692" s="126"/>
      <c r="AP692" s="126"/>
      <c r="AQ692" s="126"/>
      <c r="AR692" s="126"/>
      <c r="AS692" s="126"/>
      <c r="AT692" s="126"/>
      <c r="AU692" s="126"/>
      <c r="AV692" s="126"/>
      <c r="AW692" s="126"/>
      <c r="AX692" s="126"/>
      <c r="AY692" s="126"/>
      <c r="AZ692" s="126"/>
      <c r="BA692" s="126"/>
      <c r="BB692" s="126"/>
      <c r="BC692" s="126"/>
      <c r="BD692" s="126"/>
      <c r="BE692" s="126"/>
    </row>
    <row r="693" spans="1:9">
      <c r="A693" s="187"/>
      <c r="B693" s="182" t="s">
        <v>410</v>
      </c>
      <c r="C693" s="183" t="s">
        <v>296</v>
      </c>
      <c r="D693" s="184"/>
      <c r="E693" s="185"/>
      <c r="F693" s="185"/>
      <c r="G693" s="183"/>
      <c r="H693" s="186">
        <v>7.51</v>
      </c>
      <c r="I693" s="187"/>
    </row>
    <row r="694" spans="1:9">
      <c r="A694" s="187"/>
      <c r="B694" s="187"/>
      <c r="C694" s="188"/>
      <c r="D694" s="189"/>
      <c r="E694" s="187"/>
      <c r="F694" s="187"/>
      <c r="G694" s="190"/>
      <c r="H694" s="186"/>
      <c r="I694" s="187"/>
    </row>
    <row r="695" s="125" customFormat="1" spans="1:57">
      <c r="A695" s="175" t="s">
        <v>392</v>
      </c>
      <c r="B695" s="176" t="str">
        <f>VLOOKUP(A695,Planilha!$A$11:$I$39026,4,FALSE)</f>
        <v>Prateleiras em granito cinza andorinha, esp. 2cm</v>
      </c>
      <c r="C695" s="177" t="str">
        <f>VLOOKUP($A695,Planilha!$A$11:$I$39026,5,FALSE)</f>
        <v>m²</v>
      </c>
      <c r="D695" s="178" t="s">
        <v>405</v>
      </c>
      <c r="E695" s="179" t="s">
        <v>406</v>
      </c>
      <c r="F695" s="179" t="s">
        <v>407</v>
      </c>
      <c r="G695" s="179" t="s">
        <v>494</v>
      </c>
      <c r="H695" s="180" t="s">
        <v>457</v>
      </c>
      <c r="I695" s="219">
        <f>SUM(H696:H697)</f>
        <v>6.225</v>
      </c>
      <c r="J695" s="126"/>
      <c r="K695" s="126"/>
      <c r="L695" s="126"/>
      <c r="M695" s="126"/>
      <c r="N695" s="126"/>
      <c r="O695" s="126"/>
      <c r="P695" s="126"/>
      <c r="Q695" s="126"/>
      <c r="R695" s="126"/>
      <c r="S695" s="126"/>
      <c r="T695" s="126"/>
      <c r="U695" s="126"/>
      <c r="V695" s="126"/>
      <c r="W695" s="126"/>
      <c r="X695" s="126"/>
      <c r="Y695" s="126"/>
      <c r="Z695" s="126"/>
      <c r="AA695" s="126"/>
      <c r="AB695" s="126"/>
      <c r="AC695" s="126"/>
      <c r="AD695" s="126"/>
      <c r="AE695" s="126"/>
      <c r="AF695" s="126"/>
      <c r="AG695" s="126"/>
      <c r="AH695" s="126"/>
      <c r="AI695" s="126"/>
      <c r="AJ695" s="126"/>
      <c r="AK695" s="126"/>
      <c r="AL695" s="126"/>
      <c r="AM695" s="126"/>
      <c r="AN695" s="126"/>
      <c r="AO695" s="126"/>
      <c r="AP695" s="126"/>
      <c r="AQ695" s="126"/>
      <c r="AR695" s="126"/>
      <c r="AS695" s="126"/>
      <c r="AT695" s="126"/>
      <c r="AU695" s="126"/>
      <c r="AV695" s="126"/>
      <c r="AW695" s="126"/>
      <c r="AX695" s="126"/>
      <c r="AY695" s="126"/>
      <c r="AZ695" s="126"/>
      <c r="BA695" s="126"/>
      <c r="BB695" s="126"/>
      <c r="BC695" s="126"/>
      <c r="BD695" s="126"/>
      <c r="BE695" s="126"/>
    </row>
    <row r="696" spans="1:9">
      <c r="A696" s="187"/>
      <c r="B696" s="182" t="s">
        <v>410</v>
      </c>
      <c r="C696" s="183" t="s">
        <v>620</v>
      </c>
      <c r="D696" s="184">
        <f>2.65+1.5</f>
        <v>4.15</v>
      </c>
      <c r="E696" s="185">
        <v>0.5</v>
      </c>
      <c r="F696" s="185"/>
      <c r="G696" s="183">
        <v>3</v>
      </c>
      <c r="H696" s="186">
        <f>G696*E696*D696</f>
        <v>6.225</v>
      </c>
      <c r="I696" s="187"/>
    </row>
    <row r="697" spans="1:9">
      <c r="A697" s="187"/>
      <c r="B697" s="187"/>
      <c r="C697" s="188"/>
      <c r="D697" s="189"/>
      <c r="E697" s="187"/>
      <c r="F697" s="187"/>
      <c r="G697" s="190"/>
      <c r="H697" s="191"/>
      <c r="I697" s="187"/>
    </row>
    <row r="698" s="125" customFormat="1" ht="38.25" spans="1:57">
      <c r="A698" s="175" t="s">
        <v>394</v>
      </c>
      <c r="B698" s="176" t="str">
        <f>VLOOKUP(A698,Planilha!$A$11:$I$39026,4,FALSE)</f>
        <v>Suporte mão francesa em aço, abas iguais 40cm, capacidade mínima 70Kg, branco - fornecimento e instalação. AF_10/2020</v>
      </c>
      <c r="C698" s="177" t="str">
        <f>VLOOKUP($A698,Planilha!$A$11:$I$39026,5,FALSE)</f>
        <v>und</v>
      </c>
      <c r="D698" s="178" t="s">
        <v>405</v>
      </c>
      <c r="E698" s="179" t="s">
        <v>406</v>
      </c>
      <c r="F698" s="179" t="s">
        <v>621</v>
      </c>
      <c r="G698" s="179" t="s">
        <v>494</v>
      </c>
      <c r="H698" s="180" t="s">
        <v>457</v>
      </c>
      <c r="I698" s="219">
        <f>SUM(H699:H700)</f>
        <v>21</v>
      </c>
      <c r="J698" s="126"/>
      <c r="K698" s="126"/>
      <c r="L698" s="126"/>
      <c r="M698" s="126"/>
      <c r="N698" s="126"/>
      <c r="O698" s="126"/>
      <c r="P698" s="126"/>
      <c r="Q698" s="126"/>
      <c r="R698" s="126"/>
      <c r="S698" s="126"/>
      <c r="T698" s="126"/>
      <c r="U698" s="126"/>
      <c r="V698" s="126"/>
      <c r="W698" s="126"/>
      <c r="X698" s="126"/>
      <c r="Y698" s="126"/>
      <c r="Z698" s="126"/>
      <c r="AA698" s="126"/>
      <c r="AB698" s="126"/>
      <c r="AC698" s="126"/>
      <c r="AD698" s="126"/>
      <c r="AE698" s="126"/>
      <c r="AF698" s="126"/>
      <c r="AG698" s="126"/>
      <c r="AH698" s="126"/>
      <c r="AI698" s="126"/>
      <c r="AJ698" s="126"/>
      <c r="AK698" s="126"/>
      <c r="AL698" s="126"/>
      <c r="AM698" s="126"/>
      <c r="AN698" s="126"/>
      <c r="AO698" s="126"/>
      <c r="AP698" s="126"/>
      <c r="AQ698" s="126"/>
      <c r="AR698" s="126"/>
      <c r="AS698" s="126"/>
      <c r="AT698" s="126"/>
      <c r="AU698" s="126"/>
      <c r="AV698" s="126"/>
      <c r="AW698" s="126"/>
      <c r="AX698" s="126"/>
      <c r="AY698" s="126"/>
      <c r="AZ698" s="126"/>
      <c r="BA698" s="126"/>
      <c r="BB698" s="126"/>
      <c r="BC698" s="126"/>
      <c r="BD698" s="126"/>
      <c r="BE698" s="126"/>
    </row>
    <row r="699" spans="1:9">
      <c r="A699" s="187"/>
      <c r="B699" s="182" t="s">
        <v>410</v>
      </c>
      <c r="C699" s="183" t="s">
        <v>620</v>
      </c>
      <c r="D699" s="184"/>
      <c r="E699" s="185"/>
      <c r="F699" s="185">
        <f>3+4</f>
        <v>7</v>
      </c>
      <c r="G699" s="183">
        <v>3</v>
      </c>
      <c r="H699" s="186">
        <f>G699*F699</f>
        <v>21</v>
      </c>
      <c r="I699" s="187"/>
    </row>
    <row r="700" spans="1:9">
      <c r="A700" s="187"/>
      <c r="B700" s="187"/>
      <c r="C700" s="188"/>
      <c r="D700" s="189"/>
      <c r="E700" s="187"/>
      <c r="F700" s="187"/>
      <c r="G700" s="190"/>
      <c r="H700" s="191"/>
      <c r="I700" s="187"/>
    </row>
    <row r="701" spans="1:9">
      <c r="A701" s="187"/>
      <c r="B701" s="187"/>
      <c r="C701" s="188"/>
      <c r="D701" s="189"/>
      <c r="E701" s="187"/>
      <c r="F701" s="187"/>
      <c r="G701" s="190"/>
      <c r="H701" s="191"/>
      <c r="I701" s="187"/>
    </row>
    <row r="702" spans="1:9">
      <c r="A702" s="187"/>
      <c r="B702" s="187"/>
      <c r="C702" s="188"/>
      <c r="D702" s="189"/>
      <c r="E702" s="187"/>
      <c r="F702" s="187"/>
      <c r="G702" s="190"/>
      <c r="H702" s="191"/>
      <c r="I702" s="187"/>
    </row>
    <row r="703" spans="1:9">
      <c r="A703" s="187"/>
      <c r="B703" s="187"/>
      <c r="C703" s="188"/>
      <c r="D703" s="189"/>
      <c r="E703" s="187"/>
      <c r="F703" s="187"/>
      <c r="G703" s="190"/>
      <c r="H703" s="191"/>
      <c r="I703" s="187"/>
    </row>
    <row r="704" spans="1:9">
      <c r="A704" s="187"/>
      <c r="B704" s="187"/>
      <c r="C704" s="188"/>
      <c r="D704" s="189"/>
      <c r="E704" s="187"/>
      <c r="F704" s="187"/>
      <c r="G704" s="190"/>
      <c r="H704" s="191"/>
      <c r="I704" s="187"/>
    </row>
    <row r="705" spans="1:9">
      <c r="A705" s="187"/>
      <c r="B705" s="187"/>
      <c r="C705" s="188"/>
      <c r="D705" s="189"/>
      <c r="E705" s="187"/>
      <c r="F705" s="187"/>
      <c r="G705" s="190"/>
      <c r="H705" s="191"/>
      <c r="I705" s="187"/>
    </row>
    <row r="706" spans="1:9">
      <c r="A706" s="187"/>
      <c r="B706" s="187"/>
      <c r="C706" s="188"/>
      <c r="D706" s="189"/>
      <c r="E706" s="187"/>
      <c r="F706" s="187"/>
      <c r="G706" s="190"/>
      <c r="H706" s="191"/>
      <c r="I706" s="187"/>
    </row>
    <row r="707" spans="1:9">
      <c r="A707" s="187"/>
      <c r="B707" s="187"/>
      <c r="C707" s="188"/>
      <c r="D707" s="189"/>
      <c r="E707" s="187"/>
      <c r="F707" s="187"/>
      <c r="G707" s="190"/>
      <c r="H707" s="191"/>
      <c r="I707" s="187"/>
    </row>
    <row r="708" spans="1:9">
      <c r="A708" s="187"/>
      <c r="B708" s="187"/>
      <c r="C708" s="188"/>
      <c r="D708" s="189"/>
      <c r="E708" s="187"/>
      <c r="F708" s="187"/>
      <c r="G708" s="190"/>
      <c r="H708" s="191"/>
      <c r="I708" s="187"/>
    </row>
    <row r="709" spans="1:9">
      <c r="A709" s="187"/>
      <c r="B709" s="187"/>
      <c r="C709" s="188"/>
      <c r="D709" s="189"/>
      <c r="E709" s="187"/>
      <c r="F709" s="187"/>
      <c r="G709" s="190"/>
      <c r="H709" s="191"/>
      <c r="I709" s="187"/>
    </row>
    <row r="710" spans="1:9">
      <c r="A710" s="187"/>
      <c r="B710" s="187"/>
      <c r="C710" s="188"/>
      <c r="D710" s="189"/>
      <c r="E710" s="187"/>
      <c r="F710" s="187"/>
      <c r="G710" s="190"/>
      <c r="H710" s="191"/>
      <c r="I710" s="187"/>
    </row>
    <row r="711" spans="1:9">
      <c r="A711" s="187"/>
      <c r="B711" s="187"/>
      <c r="C711" s="188"/>
      <c r="D711" s="189"/>
      <c r="E711" s="187"/>
      <c r="F711" s="187"/>
      <c r="G711" s="190"/>
      <c r="H711" s="191"/>
      <c r="I711" s="187"/>
    </row>
    <row r="712" spans="1:9">
      <c r="A712" s="187"/>
      <c r="B712" s="187"/>
      <c r="C712" s="188"/>
      <c r="D712" s="189"/>
      <c r="E712" s="187"/>
      <c r="F712" s="187"/>
      <c r="G712" s="190"/>
      <c r="H712" s="191"/>
      <c r="I712" s="187"/>
    </row>
    <row r="713" spans="1:9">
      <c r="A713" s="187"/>
      <c r="B713" s="187"/>
      <c r="C713" s="188"/>
      <c r="D713" s="189"/>
      <c r="E713" s="187"/>
      <c r="F713" s="187"/>
      <c r="G713" s="190"/>
      <c r="H713" s="191"/>
      <c r="I713" s="187"/>
    </row>
    <row r="714" spans="1:9">
      <c r="A714" s="187"/>
      <c r="B714" s="187"/>
      <c r="C714" s="188"/>
      <c r="D714" s="189"/>
      <c r="E714" s="187"/>
      <c r="F714" s="187"/>
      <c r="G714" s="190"/>
      <c r="H714" s="191"/>
      <c r="I714" s="187"/>
    </row>
    <row r="715" spans="1:9">
      <c r="A715" s="187"/>
      <c r="B715" s="187"/>
      <c r="C715" s="188"/>
      <c r="D715" s="189"/>
      <c r="E715" s="187"/>
      <c r="F715" s="187"/>
      <c r="G715" s="190"/>
      <c r="H715" s="191"/>
      <c r="I715" s="187"/>
    </row>
    <row r="716" spans="1:9">
      <c r="A716" s="187"/>
      <c r="B716" s="187"/>
      <c r="C716" s="188"/>
      <c r="D716" s="189"/>
      <c r="E716" s="187"/>
      <c r="F716" s="187"/>
      <c r="G716" s="190"/>
      <c r="H716" s="191"/>
      <c r="I716" s="187"/>
    </row>
    <row r="717" spans="1:9">
      <c r="A717" s="187"/>
      <c r="B717" s="187"/>
      <c r="C717" s="188"/>
      <c r="D717" s="189"/>
      <c r="E717" s="187"/>
      <c r="F717" s="187"/>
      <c r="G717" s="190"/>
      <c r="H717" s="191"/>
      <c r="I717" s="187"/>
    </row>
    <row r="718" spans="1:9">
      <c r="A718" s="187"/>
      <c r="B718" s="187"/>
      <c r="C718" s="188"/>
      <c r="D718" s="189"/>
      <c r="E718" s="187"/>
      <c r="F718" s="187"/>
      <c r="G718" s="190"/>
      <c r="H718" s="191"/>
      <c r="I718" s="187"/>
    </row>
    <row r="719" spans="1:9">
      <c r="A719" s="187"/>
      <c r="B719" s="187"/>
      <c r="C719" s="188"/>
      <c r="D719" s="189"/>
      <c r="E719" s="187"/>
      <c r="F719" s="187"/>
      <c r="G719" s="190"/>
      <c r="H719" s="191"/>
      <c r="I719" s="187"/>
    </row>
    <row r="720" spans="1:9">
      <c r="A720" s="187"/>
      <c r="B720" s="187"/>
      <c r="C720" s="188"/>
      <c r="D720" s="189"/>
      <c r="E720" s="187"/>
      <c r="F720" s="187"/>
      <c r="G720" s="190"/>
      <c r="H720" s="191"/>
      <c r="I720" s="187"/>
    </row>
    <row r="721" spans="1:9">
      <c r="A721" s="187"/>
      <c r="B721" s="187"/>
      <c r="C721" s="188"/>
      <c r="D721" s="189"/>
      <c r="E721" s="187"/>
      <c r="F721" s="187"/>
      <c r="G721" s="190"/>
      <c r="H721" s="191"/>
      <c r="I721" s="187"/>
    </row>
    <row r="722" spans="1:9">
      <c r="A722" s="187"/>
      <c r="B722" s="187"/>
      <c r="C722" s="188"/>
      <c r="D722" s="189"/>
      <c r="E722" s="187"/>
      <c r="F722" s="187"/>
      <c r="G722" s="190"/>
      <c r="H722" s="191"/>
      <c r="I722" s="187"/>
    </row>
    <row r="723" spans="1:9">
      <c r="A723" s="187"/>
      <c r="B723" s="187"/>
      <c r="C723" s="188"/>
      <c r="D723" s="189"/>
      <c r="E723" s="187"/>
      <c r="F723" s="187"/>
      <c r="G723" s="190"/>
      <c r="H723" s="191"/>
      <c r="I723" s="187"/>
    </row>
    <row r="724" spans="1:9">
      <c r="A724" s="187"/>
      <c r="B724" s="187"/>
      <c r="C724" s="188"/>
      <c r="D724" s="189"/>
      <c r="E724" s="187"/>
      <c r="F724" s="187"/>
      <c r="G724" s="190"/>
      <c r="H724" s="191"/>
      <c r="I724" s="187"/>
    </row>
    <row r="725" spans="1:9">
      <c r="A725" s="187"/>
      <c r="B725" s="187"/>
      <c r="C725" s="188"/>
      <c r="D725" s="189"/>
      <c r="E725" s="187"/>
      <c r="F725" s="187"/>
      <c r="G725" s="190"/>
      <c r="H725" s="191"/>
      <c r="I725" s="187"/>
    </row>
    <row r="726" spans="1:9">
      <c r="A726" s="187"/>
      <c r="B726" s="187"/>
      <c r="C726" s="188"/>
      <c r="D726" s="189"/>
      <c r="E726" s="187"/>
      <c r="F726" s="187"/>
      <c r="G726" s="190"/>
      <c r="H726" s="191"/>
      <c r="I726" s="187"/>
    </row>
    <row r="727" spans="1:9">
      <c r="A727" s="187"/>
      <c r="B727" s="187"/>
      <c r="C727" s="188"/>
      <c r="D727" s="189"/>
      <c r="E727" s="187"/>
      <c r="F727" s="187"/>
      <c r="G727" s="190"/>
      <c r="H727" s="191"/>
      <c r="I727" s="187"/>
    </row>
    <row r="728" spans="1:9">
      <c r="A728" s="187"/>
      <c r="B728" s="187"/>
      <c r="C728" s="188"/>
      <c r="D728" s="189"/>
      <c r="E728" s="187"/>
      <c r="F728" s="187"/>
      <c r="G728" s="190"/>
      <c r="H728" s="191"/>
      <c r="I728" s="187"/>
    </row>
    <row r="729" spans="1:9">
      <c r="A729" s="187"/>
      <c r="B729" s="187"/>
      <c r="C729" s="188"/>
      <c r="D729" s="189"/>
      <c r="E729" s="187"/>
      <c r="F729" s="187"/>
      <c r="G729" s="190"/>
      <c r="H729" s="191"/>
      <c r="I729" s="187"/>
    </row>
    <row r="730" spans="1:9">
      <c r="A730" s="187"/>
      <c r="B730" s="187"/>
      <c r="C730" s="188"/>
      <c r="D730" s="189"/>
      <c r="E730" s="187"/>
      <c r="F730" s="187"/>
      <c r="G730" s="190"/>
      <c r="H730" s="191"/>
      <c r="I730" s="187"/>
    </row>
    <row r="731" spans="1:9">
      <c r="A731" s="187"/>
      <c r="B731" s="187"/>
      <c r="C731" s="188"/>
      <c r="D731" s="189"/>
      <c r="E731" s="187"/>
      <c r="F731" s="187"/>
      <c r="G731" s="190"/>
      <c r="H731" s="191"/>
      <c r="I731" s="187"/>
    </row>
    <row r="732" spans="1:9">
      <c r="A732" s="187"/>
      <c r="B732" s="187"/>
      <c r="C732" s="188"/>
      <c r="D732" s="189"/>
      <c r="E732" s="187"/>
      <c r="F732" s="187"/>
      <c r="G732" s="190"/>
      <c r="H732" s="191"/>
      <c r="I732" s="187"/>
    </row>
    <row r="733" spans="1:9">
      <c r="A733" s="187"/>
      <c r="B733" s="187"/>
      <c r="C733" s="188"/>
      <c r="D733" s="189"/>
      <c r="E733" s="187"/>
      <c r="F733" s="187"/>
      <c r="G733" s="190"/>
      <c r="H733" s="191"/>
      <c r="I733" s="187"/>
    </row>
    <row r="734" spans="1:9">
      <c r="A734" s="187"/>
      <c r="B734" s="187"/>
      <c r="C734" s="188"/>
      <c r="D734" s="189"/>
      <c r="E734" s="187"/>
      <c r="F734" s="187"/>
      <c r="G734" s="190"/>
      <c r="H734" s="191"/>
      <c r="I734" s="187"/>
    </row>
    <row r="735" spans="1:9">
      <c r="A735" s="187"/>
      <c r="B735" s="187"/>
      <c r="C735" s="188"/>
      <c r="D735" s="189"/>
      <c r="E735" s="187"/>
      <c r="F735" s="187"/>
      <c r="G735" s="190"/>
      <c r="H735" s="191"/>
      <c r="I735" s="187"/>
    </row>
    <row r="736" spans="1:9">
      <c r="A736" s="187"/>
      <c r="B736" s="187"/>
      <c r="C736" s="188"/>
      <c r="D736" s="189"/>
      <c r="E736" s="187"/>
      <c r="F736" s="187"/>
      <c r="G736" s="190"/>
      <c r="H736" s="191"/>
      <c r="I736" s="187"/>
    </row>
    <row r="737" spans="1:9">
      <c r="A737" s="187"/>
      <c r="B737" s="187"/>
      <c r="C737" s="188"/>
      <c r="D737" s="189"/>
      <c r="E737" s="187"/>
      <c r="F737" s="187"/>
      <c r="G737" s="190"/>
      <c r="H737" s="191"/>
      <c r="I737" s="187"/>
    </row>
    <row r="738" spans="1:9">
      <c r="A738" s="187"/>
      <c r="B738" s="187"/>
      <c r="C738" s="188"/>
      <c r="D738" s="189"/>
      <c r="E738" s="187"/>
      <c r="F738" s="187"/>
      <c r="G738" s="190"/>
      <c r="H738" s="191"/>
      <c r="I738" s="187"/>
    </row>
    <row r="739" spans="1:9">
      <c r="A739" s="187"/>
      <c r="B739" s="187"/>
      <c r="C739" s="188"/>
      <c r="D739" s="189"/>
      <c r="E739" s="187"/>
      <c r="F739" s="187"/>
      <c r="G739" s="190"/>
      <c r="H739" s="191"/>
      <c r="I739" s="187"/>
    </row>
    <row r="740" spans="1:9">
      <c r="A740" s="187"/>
      <c r="B740" s="187"/>
      <c r="C740" s="188"/>
      <c r="D740" s="189"/>
      <c r="E740" s="187"/>
      <c r="F740" s="187"/>
      <c r="G740" s="190"/>
      <c r="H740" s="191"/>
      <c r="I740" s="187"/>
    </row>
    <row r="741" spans="1:9">
      <c r="A741" s="187"/>
      <c r="B741" s="187"/>
      <c r="C741" s="188"/>
      <c r="D741" s="189"/>
      <c r="E741" s="187"/>
      <c r="F741" s="187"/>
      <c r="G741" s="190"/>
      <c r="H741" s="191"/>
      <c r="I741" s="187"/>
    </row>
    <row r="742" spans="1:9">
      <c r="A742" s="187"/>
      <c r="B742" s="187"/>
      <c r="C742" s="188"/>
      <c r="D742" s="189"/>
      <c r="E742" s="187"/>
      <c r="F742" s="187"/>
      <c r="G742" s="190"/>
      <c r="H742" s="191"/>
      <c r="I742" s="187"/>
    </row>
    <row r="743" spans="1:9">
      <c r="A743" s="187"/>
      <c r="B743" s="187"/>
      <c r="C743" s="188"/>
      <c r="D743" s="189"/>
      <c r="E743" s="187"/>
      <c r="F743" s="187"/>
      <c r="G743" s="190"/>
      <c r="H743" s="191"/>
      <c r="I743" s="187"/>
    </row>
    <row r="744" spans="1:9">
      <c r="A744" s="187"/>
      <c r="B744" s="187"/>
      <c r="C744" s="188"/>
      <c r="D744" s="189"/>
      <c r="E744" s="187"/>
      <c r="F744" s="187"/>
      <c r="G744" s="190"/>
      <c r="H744" s="191"/>
      <c r="I744" s="187"/>
    </row>
    <row r="745" spans="1:9">
      <c r="A745" s="187"/>
      <c r="B745" s="187"/>
      <c r="C745" s="188"/>
      <c r="D745" s="189"/>
      <c r="E745" s="187"/>
      <c r="F745" s="187"/>
      <c r="G745" s="190"/>
      <c r="H745" s="191"/>
      <c r="I745" s="187"/>
    </row>
    <row r="746" spans="1:9">
      <c r="A746" s="187"/>
      <c r="B746" s="187"/>
      <c r="C746" s="188"/>
      <c r="D746" s="189"/>
      <c r="E746" s="187"/>
      <c r="F746" s="187"/>
      <c r="G746" s="190"/>
      <c r="H746" s="191"/>
      <c r="I746" s="187"/>
    </row>
    <row r="747" spans="1:9">
      <c r="A747" s="187"/>
      <c r="B747" s="187"/>
      <c r="C747" s="188"/>
      <c r="D747" s="189"/>
      <c r="E747" s="187"/>
      <c r="F747" s="187"/>
      <c r="G747" s="190"/>
      <c r="H747" s="191"/>
      <c r="I747" s="187"/>
    </row>
    <row r="748" spans="1:9">
      <c r="A748" s="187"/>
      <c r="B748" s="187"/>
      <c r="C748" s="188"/>
      <c r="D748" s="189"/>
      <c r="E748" s="187"/>
      <c r="F748" s="187"/>
      <c r="G748" s="190"/>
      <c r="H748" s="191"/>
      <c r="I748" s="187"/>
    </row>
    <row r="749" spans="1:9">
      <c r="A749" s="187"/>
      <c r="B749" s="187"/>
      <c r="C749" s="188"/>
      <c r="D749" s="189"/>
      <c r="E749" s="187"/>
      <c r="F749" s="187"/>
      <c r="G749" s="190"/>
      <c r="H749" s="191"/>
      <c r="I749" s="187"/>
    </row>
    <row r="750" spans="1:9">
      <c r="A750" s="187"/>
      <c r="B750" s="187"/>
      <c r="C750" s="188"/>
      <c r="D750" s="189"/>
      <c r="E750" s="187"/>
      <c r="F750" s="187"/>
      <c r="G750" s="190"/>
      <c r="H750" s="191"/>
      <c r="I750" s="187"/>
    </row>
    <row r="751" spans="1:9">
      <c r="A751" s="187"/>
      <c r="B751" s="187"/>
      <c r="C751" s="188"/>
      <c r="D751" s="189"/>
      <c r="E751" s="187"/>
      <c r="F751" s="187"/>
      <c r="G751" s="190"/>
      <c r="H751" s="191"/>
      <c r="I751" s="187"/>
    </row>
    <row r="752" spans="1:9">
      <c r="A752" s="187"/>
      <c r="B752" s="187"/>
      <c r="C752" s="188"/>
      <c r="D752" s="189"/>
      <c r="E752" s="187"/>
      <c r="F752" s="187"/>
      <c r="G752" s="190"/>
      <c r="H752" s="191"/>
      <c r="I752" s="187"/>
    </row>
    <row r="753" spans="1:9">
      <c r="A753" s="187"/>
      <c r="B753" s="187"/>
      <c r="C753" s="188"/>
      <c r="D753" s="189"/>
      <c r="E753" s="187"/>
      <c r="F753" s="187"/>
      <c r="G753" s="190"/>
      <c r="H753" s="191"/>
      <c r="I753" s="187"/>
    </row>
    <row r="754" spans="1:9">
      <c r="A754" s="187"/>
      <c r="B754" s="187"/>
      <c r="C754" s="188"/>
      <c r="D754" s="189"/>
      <c r="E754" s="187"/>
      <c r="F754" s="187"/>
      <c r="G754" s="190"/>
      <c r="H754" s="191"/>
      <c r="I754" s="187"/>
    </row>
    <row r="755" spans="1:9">
      <c r="A755" s="187"/>
      <c r="B755" s="187"/>
      <c r="C755" s="188"/>
      <c r="D755" s="189"/>
      <c r="E755" s="187"/>
      <c r="F755" s="187"/>
      <c r="G755" s="190"/>
      <c r="H755" s="191"/>
      <c r="I755" s="187"/>
    </row>
    <row r="756" spans="1:9">
      <c r="A756" s="187"/>
      <c r="B756" s="187"/>
      <c r="C756" s="188"/>
      <c r="D756" s="189"/>
      <c r="E756" s="187"/>
      <c r="F756" s="187"/>
      <c r="G756" s="190"/>
      <c r="H756" s="191"/>
      <c r="I756" s="187"/>
    </row>
    <row r="757" spans="1:9">
      <c r="A757" s="187"/>
      <c r="B757" s="187"/>
      <c r="C757" s="188"/>
      <c r="D757" s="189"/>
      <c r="E757" s="187"/>
      <c r="F757" s="187"/>
      <c r="G757" s="190"/>
      <c r="H757" s="191"/>
      <c r="I757" s="187"/>
    </row>
    <row r="758" spans="1:9">
      <c r="A758" s="187"/>
      <c r="B758" s="187"/>
      <c r="C758" s="188"/>
      <c r="D758" s="189"/>
      <c r="E758" s="187"/>
      <c r="F758" s="187"/>
      <c r="G758" s="190"/>
      <c r="H758" s="191"/>
      <c r="I758" s="187"/>
    </row>
    <row r="759" spans="1:9">
      <c r="A759" s="187"/>
      <c r="B759" s="187"/>
      <c r="C759" s="188"/>
      <c r="D759" s="189"/>
      <c r="E759" s="187"/>
      <c r="F759" s="187"/>
      <c r="G759" s="190"/>
      <c r="H759" s="191"/>
      <c r="I759" s="187"/>
    </row>
    <row r="760" spans="1:9">
      <c r="A760" s="187"/>
      <c r="B760" s="187"/>
      <c r="C760" s="188"/>
      <c r="D760" s="189"/>
      <c r="E760" s="187"/>
      <c r="F760" s="187"/>
      <c r="G760" s="190"/>
      <c r="H760" s="191"/>
      <c r="I760" s="187"/>
    </row>
    <row r="761" spans="1:9">
      <c r="A761" s="187"/>
      <c r="B761" s="187"/>
      <c r="C761" s="188"/>
      <c r="D761" s="189"/>
      <c r="E761" s="187"/>
      <c r="F761" s="187"/>
      <c r="G761" s="190"/>
      <c r="H761" s="191"/>
      <c r="I761" s="187"/>
    </row>
    <row r="762" spans="1:9">
      <c r="A762" s="187"/>
      <c r="B762" s="187"/>
      <c r="C762" s="188"/>
      <c r="D762" s="189"/>
      <c r="E762" s="187"/>
      <c r="F762" s="187"/>
      <c r="G762" s="190"/>
      <c r="H762" s="191"/>
      <c r="I762" s="187"/>
    </row>
    <row r="763" spans="1:9">
      <c r="A763" s="187"/>
      <c r="B763" s="187"/>
      <c r="C763" s="188"/>
      <c r="D763" s="189"/>
      <c r="E763" s="187"/>
      <c r="F763" s="187"/>
      <c r="G763" s="190"/>
      <c r="H763" s="191"/>
      <c r="I763" s="187"/>
    </row>
    <row r="764" spans="1:9">
      <c r="A764" s="187"/>
      <c r="B764" s="187"/>
      <c r="C764" s="188"/>
      <c r="D764" s="189"/>
      <c r="E764" s="187"/>
      <c r="F764" s="187"/>
      <c r="G764" s="190"/>
      <c r="H764" s="191"/>
      <c r="I764" s="187"/>
    </row>
  </sheetData>
  <mergeCells count="109">
    <mergeCell ref="A1:I1"/>
    <mergeCell ref="A2:I2"/>
    <mergeCell ref="A5:I5"/>
    <mergeCell ref="E6:F6"/>
    <mergeCell ref="G6:I6"/>
    <mergeCell ref="B7:D7"/>
    <mergeCell ref="E7:F7"/>
    <mergeCell ref="G7:I7"/>
    <mergeCell ref="B8:D8"/>
    <mergeCell ref="E8:F8"/>
    <mergeCell ref="G8:I8"/>
    <mergeCell ref="C9:I9"/>
    <mergeCell ref="D10:H10"/>
    <mergeCell ref="D41:G41"/>
    <mergeCell ref="D153:G153"/>
    <mergeCell ref="C231:H231"/>
    <mergeCell ref="C243:H243"/>
    <mergeCell ref="C255:H255"/>
    <mergeCell ref="D288:G288"/>
    <mergeCell ref="D296:G296"/>
    <mergeCell ref="C415:H415"/>
    <mergeCell ref="C422:H422"/>
    <mergeCell ref="A9:A10"/>
    <mergeCell ref="B9:B10"/>
    <mergeCell ref="I11:I12"/>
    <mergeCell ref="I14:I15"/>
    <mergeCell ref="I17:I18"/>
    <mergeCell ref="I20:I21"/>
    <mergeCell ref="I23:I24"/>
    <mergeCell ref="I32:I33"/>
    <mergeCell ref="I43:I45"/>
    <mergeCell ref="I65:I66"/>
    <mergeCell ref="I79:I80"/>
    <mergeCell ref="I91:I92"/>
    <mergeCell ref="I96:I97"/>
    <mergeCell ref="I101:I102"/>
    <mergeCell ref="I110:I111"/>
    <mergeCell ref="I130:I131"/>
    <mergeCell ref="I133:I134"/>
    <mergeCell ref="I136:I137"/>
    <mergeCell ref="I139:I140"/>
    <mergeCell ref="I142:I143"/>
    <mergeCell ref="I151:I152"/>
    <mergeCell ref="I156:I157"/>
    <mergeCell ref="I159:I160"/>
    <mergeCell ref="I162:I163"/>
    <mergeCell ref="I166:I167"/>
    <mergeCell ref="I173:I174"/>
    <mergeCell ref="I176:I177"/>
    <mergeCell ref="I180:I181"/>
    <mergeCell ref="I189:I190"/>
    <mergeCell ref="I195:I196"/>
    <mergeCell ref="I202:I203"/>
    <mergeCell ref="I206:I207"/>
    <mergeCell ref="I210:I211"/>
    <mergeCell ref="I215:I216"/>
    <mergeCell ref="I222:I223"/>
    <mergeCell ref="I226:I227"/>
    <mergeCell ref="I242:I243"/>
    <mergeCell ref="I254:I255"/>
    <mergeCell ref="I266:I267"/>
    <mergeCell ref="I269:I270"/>
    <mergeCell ref="I272:I273"/>
    <mergeCell ref="I277:I278"/>
    <mergeCell ref="I282:I283"/>
    <mergeCell ref="I298:I299"/>
    <mergeCell ref="I305:I306"/>
    <mergeCell ref="I309:I310"/>
    <mergeCell ref="I312:I313"/>
    <mergeCell ref="I316:I317"/>
    <mergeCell ref="I325:I326"/>
    <mergeCell ref="I330:I331"/>
    <mergeCell ref="I338:I339"/>
    <mergeCell ref="I341:I342"/>
    <mergeCell ref="I349:I350"/>
    <mergeCell ref="I356:I357"/>
    <mergeCell ref="I359:I360"/>
    <mergeCell ref="I363:I364"/>
    <mergeCell ref="I366:I367"/>
    <mergeCell ref="I393:I394"/>
    <mergeCell ref="I414:I415"/>
    <mergeCell ref="I436:I437"/>
    <mergeCell ref="I440:I441"/>
    <mergeCell ref="I445:I446"/>
    <mergeCell ref="I448:I449"/>
    <mergeCell ref="I451:I452"/>
    <mergeCell ref="I455:I456"/>
    <mergeCell ref="I459:I460"/>
    <mergeCell ref="I462:I463"/>
    <mergeCell ref="I466:I467"/>
    <mergeCell ref="I470:I471"/>
    <mergeCell ref="I478:I479"/>
    <mergeCell ref="I481:I482"/>
    <mergeCell ref="I484:I485"/>
    <mergeCell ref="I489:I490"/>
    <mergeCell ref="I494:I495"/>
    <mergeCell ref="I497:I498"/>
    <mergeCell ref="I512:I513"/>
    <mergeCell ref="I515:I516"/>
    <mergeCell ref="I518:I519"/>
    <mergeCell ref="I522:I523"/>
    <mergeCell ref="I529:I530"/>
    <mergeCell ref="I532:I533"/>
    <mergeCell ref="I536:I537"/>
    <mergeCell ref="I541:I542"/>
    <mergeCell ref="I605:I606"/>
    <mergeCell ref="I608:I609"/>
    <mergeCell ref="I611:I612"/>
    <mergeCell ref="I614:I615"/>
  </mergeCells>
  <pageMargins left="0.751388888888889" right="0.751388888888889" top="1" bottom="1" header="0.5" footer="0.5"/>
  <pageSetup paperSize="9" scale="72" fitToHeight="0" orientation="landscape" horizontalDpi="600"/>
  <headerFooter/>
  <rowBreaks count="25" manualBreakCount="25">
    <brk id="31" max="8" man="1"/>
    <brk id="90" max="8" man="1"/>
    <brk id="109" max="8" man="1"/>
    <brk id="144" max="16383" man="1"/>
    <brk id="183" max="8" man="1"/>
    <brk id="201" max="8" man="1"/>
    <brk id="221" max="8" man="1"/>
    <brk id="241" max="8" man="1"/>
    <brk id="268" max="8" man="1"/>
    <brk id="289" max="8" man="1"/>
    <brk id="308" max="8" man="1"/>
    <brk id="329" max="8" man="1"/>
    <brk id="348" max="8" man="1"/>
    <brk id="365" max="8" man="1"/>
    <brk id="385" max="8" man="1"/>
    <brk id="412" max="8" man="1"/>
    <brk id="438" max="8" man="1"/>
    <brk id="460" max="8" man="1"/>
    <brk id="499" max="8" man="1"/>
    <brk id="521" max="8" man="1"/>
    <brk id="546" max="8" man="1"/>
    <brk id="590" max="8" man="1"/>
    <brk id="610" max="8" man="1"/>
    <brk id="633" max="8" man="1"/>
    <brk id="675" max="8" man="1"/>
  </row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P209"/>
  <sheetViews>
    <sheetView view="pageBreakPreview" zoomScaleNormal="85" zoomScaleSheetLayoutView="100" topLeftCell="C186" workbookViewId="0">
      <selection activeCell="N207" sqref="N207"/>
    </sheetView>
  </sheetViews>
  <sheetFormatPr defaultColWidth="9.14285714285714" defaultRowHeight="15"/>
  <cols>
    <col min="1" max="1" width="2" customWidth="1"/>
    <col min="2" max="2" width="7.42857142857143" style="2" customWidth="1"/>
    <col min="3" max="3" width="62.1428571428571" customWidth="1"/>
    <col min="4" max="4" width="15.2952380952381" style="3" customWidth="1"/>
    <col min="5" max="5" width="7.71428571428571" style="4" customWidth="1"/>
    <col min="6" max="6" width="12.7142857142857" customWidth="1"/>
    <col min="7" max="7" width="7.71428571428571" style="4" customWidth="1"/>
    <col min="8" max="8" width="12.7142857142857" customWidth="1"/>
    <col min="9" max="9" width="7.71428571428571" style="4" customWidth="1"/>
    <col min="10" max="10" width="12.7142857142857" customWidth="1"/>
    <col min="11" max="11" width="7.71428571428571" style="4" customWidth="1"/>
    <col min="12" max="12" width="12.7142857142857" customWidth="1"/>
    <col min="13" max="13" width="7.71428571428571" style="4" customWidth="1"/>
    <col min="14" max="14" width="12.7142857142857" customWidth="1"/>
  </cols>
  <sheetData>
    <row r="1" ht="15.75"/>
    <row r="2" s="1" customFormat="1" ht="95" customHeight="1" spans="2:16">
      <c r="B2" s="5" t="s">
        <v>0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48"/>
      <c r="O2" s="49"/>
      <c r="P2" s="49"/>
    </row>
    <row r="3" s="1" customFormat="1" ht="17" customHeight="1" spans="2:16">
      <c r="B3" s="7" t="s">
        <v>622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50"/>
      <c r="O3" s="49"/>
      <c r="P3" s="49"/>
    </row>
    <row r="4" s="1" customFormat="1" ht="17" customHeight="1" spans="2:16">
      <c r="B4" s="9" t="s">
        <v>623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51"/>
      <c r="O4" s="49"/>
      <c r="P4" s="49"/>
    </row>
    <row r="5" s="1" customFormat="1" ht="4" customHeight="1" spans="2:14">
      <c r="B5" s="11"/>
      <c r="C5" s="12"/>
      <c r="D5" s="13"/>
      <c r="E5" s="14"/>
      <c r="F5" s="15"/>
      <c r="G5" s="16"/>
      <c r="H5" s="13"/>
      <c r="I5" s="14"/>
      <c r="J5" s="14"/>
      <c r="K5" s="52"/>
      <c r="L5" s="14"/>
      <c r="M5" s="52"/>
      <c r="N5" s="53"/>
    </row>
    <row r="6" s="1" customFormat="1" customHeight="1" spans="2:14">
      <c r="B6" s="17" t="s">
        <v>624</v>
      </c>
      <c r="C6" s="18"/>
      <c r="D6" s="18"/>
      <c r="E6" s="18"/>
      <c r="F6" s="18"/>
      <c r="G6" s="18"/>
      <c r="H6" s="18"/>
      <c r="I6" s="18"/>
      <c r="J6" s="18"/>
      <c r="K6" s="54" t="s">
        <v>625</v>
      </c>
      <c r="L6" s="55"/>
      <c r="M6" s="55"/>
      <c r="N6" s="56"/>
    </row>
    <row r="7" s="1" customFormat="1" ht="12.75" spans="2:14">
      <c r="B7" s="19" t="s">
        <v>626</v>
      </c>
      <c r="C7" s="20"/>
      <c r="D7" s="20"/>
      <c r="E7" s="20"/>
      <c r="F7" s="20"/>
      <c r="G7" s="20"/>
      <c r="H7" s="20"/>
      <c r="I7" s="20"/>
      <c r="J7" s="57"/>
      <c r="K7" s="58" t="s">
        <v>627</v>
      </c>
      <c r="L7" s="58" t="s">
        <v>628</v>
      </c>
      <c r="M7" s="59" t="s">
        <v>629</v>
      </c>
      <c r="N7" s="60" t="s">
        <v>630</v>
      </c>
    </row>
    <row r="8" s="1" customFormat="1" ht="12.75" spans="2:14">
      <c r="B8" s="21" t="s">
        <v>631</v>
      </c>
      <c r="C8" s="22"/>
      <c r="D8" s="22"/>
      <c r="E8" s="22"/>
      <c r="F8" s="22"/>
      <c r="G8" s="22"/>
      <c r="H8" s="22"/>
      <c r="I8" s="22"/>
      <c r="J8" s="22"/>
      <c r="K8" s="61"/>
      <c r="L8" s="61"/>
      <c r="M8" s="59" t="s">
        <v>632</v>
      </c>
      <c r="N8" s="62">
        <f>Planilha!$I$7</f>
        <v>0.3196</v>
      </c>
    </row>
    <row r="9" s="1" customFormat="1" ht="13.5" spans="2:14">
      <c r="B9" s="23" t="s">
        <v>633</v>
      </c>
      <c r="C9" s="24"/>
      <c r="D9" s="24"/>
      <c r="E9" s="24"/>
      <c r="F9" s="24"/>
      <c r="G9" s="24"/>
      <c r="H9" s="24"/>
      <c r="I9" s="24"/>
      <c r="J9" s="24"/>
      <c r="K9" s="63" t="s">
        <v>634</v>
      </c>
      <c r="L9" s="63"/>
      <c r="M9" s="64">
        <f>D196</f>
        <v>357449.08</v>
      </c>
      <c r="N9" s="65"/>
    </row>
    <row r="10" s="1" customFormat="1" ht="5" customHeight="1" spans="2:14">
      <c r="B10" s="11"/>
      <c r="C10" s="12"/>
      <c r="D10" s="13"/>
      <c r="E10" s="14"/>
      <c r="F10" s="15"/>
      <c r="G10" s="16"/>
      <c r="H10" s="13"/>
      <c r="I10" s="14"/>
      <c r="J10" s="14"/>
      <c r="K10" s="52"/>
      <c r="L10" s="14"/>
      <c r="M10" s="52"/>
      <c r="N10" s="53"/>
    </row>
    <row r="11" s="1" customFormat="1" ht="13.5" spans="2:14">
      <c r="B11" s="25" t="s">
        <v>635</v>
      </c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66"/>
    </row>
    <row r="12" s="1" customFormat="1" ht="5" customHeight="1" spans="2:14">
      <c r="B12" s="11"/>
      <c r="C12" s="12"/>
      <c r="D12" s="13"/>
      <c r="E12" s="14"/>
      <c r="F12" s="15"/>
      <c r="G12" s="16"/>
      <c r="H12" s="13"/>
      <c r="I12" s="14"/>
      <c r="J12" s="14"/>
      <c r="K12" s="52"/>
      <c r="L12" s="14"/>
      <c r="M12" s="52"/>
      <c r="N12" s="53"/>
    </row>
    <row r="13" s="1" customFormat="1" ht="12.75" spans="2:14">
      <c r="B13" s="27" t="s">
        <v>11</v>
      </c>
      <c r="C13" s="28" t="s">
        <v>636</v>
      </c>
      <c r="D13" s="28" t="s">
        <v>637</v>
      </c>
      <c r="E13" s="29" t="s">
        <v>638</v>
      </c>
      <c r="F13" s="30"/>
      <c r="G13" s="29" t="s">
        <v>639</v>
      </c>
      <c r="H13" s="30"/>
      <c r="I13" s="29" t="s">
        <v>640</v>
      </c>
      <c r="J13" s="30"/>
      <c r="K13" s="29" t="s">
        <v>641</v>
      </c>
      <c r="L13" s="30"/>
      <c r="M13" s="29" t="s">
        <v>642</v>
      </c>
      <c r="N13" s="67"/>
    </row>
    <row r="14" s="1" customFormat="1" ht="13.5" spans="2:14">
      <c r="B14" s="31"/>
      <c r="C14" s="32"/>
      <c r="D14" s="32"/>
      <c r="E14" s="33"/>
      <c r="F14" s="34"/>
      <c r="G14" s="33"/>
      <c r="H14" s="34"/>
      <c r="I14" s="33"/>
      <c r="J14" s="34"/>
      <c r="K14" s="33"/>
      <c r="L14" s="34"/>
      <c r="M14" s="33"/>
      <c r="N14" s="68"/>
    </row>
    <row r="15" s="2" customFormat="1" spans="2:14">
      <c r="B15" s="35" t="str">
        <f>Planilha!A11</f>
        <v>1.0</v>
      </c>
      <c r="C15" s="36" t="str">
        <f>VLOOKUP($B15,Planilha!$A$11:$I$193,4,FALSE)</f>
        <v>REFORMA</v>
      </c>
      <c r="D15" s="37">
        <f>SUM(D16,D21,D37,D41,D49,D55,D58,D63,D65,D70,D90,D95,D113,D115,D120,D122)</f>
        <v>310102.69</v>
      </c>
      <c r="E15" s="38"/>
      <c r="F15" s="39"/>
      <c r="G15" s="38"/>
      <c r="H15" s="39"/>
      <c r="I15" s="38"/>
      <c r="J15" s="39"/>
      <c r="K15" s="38"/>
      <c r="L15" s="38"/>
      <c r="M15" s="38"/>
      <c r="N15" s="69"/>
    </row>
    <row r="16" s="2" customFormat="1" spans="2:14">
      <c r="B16" s="40" t="str">
        <f>Planilha!A12</f>
        <v>1.1</v>
      </c>
      <c r="C16" s="36" t="s">
        <v>24</v>
      </c>
      <c r="D16" s="37">
        <f>SUM(D17:D20)</f>
        <v>8805.3</v>
      </c>
      <c r="E16" s="41"/>
      <c r="F16" s="42"/>
      <c r="G16" s="41"/>
      <c r="H16" s="42"/>
      <c r="I16" s="41"/>
      <c r="J16" s="42"/>
      <c r="K16" s="41"/>
      <c r="L16" s="41"/>
      <c r="M16" s="41"/>
      <c r="N16" s="70"/>
    </row>
    <row r="17" spans="2:14">
      <c r="B17" s="40" t="str">
        <f>Planilha!A13</f>
        <v>1.1.1</v>
      </c>
      <c r="C17" s="43" t="str">
        <f>VLOOKUP($B17,Planilha!$A$11:$I$193,4,FALSE)</f>
        <v>Placa de obra nas dimensões de 2.0 x 4.0 m, padrão DER</v>
      </c>
      <c r="D17" s="44">
        <f>VLOOKUP($B17,Planilha!$A$11:$I$193,9,FALSE)</f>
        <v>2843.68</v>
      </c>
      <c r="E17" s="45">
        <v>1</v>
      </c>
      <c r="F17" s="46">
        <f t="shared" ref="F17:F22" si="0">E17*$D17</f>
        <v>2843.68</v>
      </c>
      <c r="G17" s="47"/>
      <c r="H17" s="46">
        <f t="shared" ref="H17:H20" si="1">G17*$D17</f>
        <v>0</v>
      </c>
      <c r="I17" s="47"/>
      <c r="J17" s="46">
        <f t="shared" ref="J17:J20" si="2">I17*$D17</f>
        <v>0</v>
      </c>
      <c r="K17" s="47"/>
      <c r="L17" s="46">
        <f t="shared" ref="L17:L20" si="3">K17*$D17</f>
        <v>0</v>
      </c>
      <c r="M17" s="47"/>
      <c r="N17" s="71">
        <f t="shared" ref="N17:N20" si="4">M17*$D17</f>
        <v>0</v>
      </c>
    </row>
    <row r="18" ht="30" spans="2:14">
      <c r="B18" s="40" t="str">
        <f>Planilha!A14</f>
        <v>1.1.2</v>
      </c>
      <c r="C18" s="43" t="str">
        <f>VLOOKUP($B18,Planilha!$A$11:$I$193,4,FALSE)</f>
        <v>Locação de andaime metálico para fachada - tipo torre (aluguel mensal)</v>
      </c>
      <c r="D18" s="44">
        <f>VLOOKUP($B18,Planilha!$A$11:$I$193,9,FALSE)</f>
        <v>140.6</v>
      </c>
      <c r="E18" s="45"/>
      <c r="F18" s="46">
        <f t="shared" si="0"/>
        <v>0</v>
      </c>
      <c r="G18" s="47"/>
      <c r="H18" s="46">
        <f t="shared" si="1"/>
        <v>0</v>
      </c>
      <c r="I18" s="45"/>
      <c r="J18" s="46">
        <f t="shared" si="2"/>
        <v>0</v>
      </c>
      <c r="K18" s="45">
        <v>1</v>
      </c>
      <c r="L18" s="46">
        <f t="shared" si="3"/>
        <v>140.6</v>
      </c>
      <c r="M18" s="45"/>
      <c r="N18" s="71">
        <f t="shared" si="4"/>
        <v>0</v>
      </c>
    </row>
    <row r="19" ht="60" spans="2:14">
      <c r="B19" s="40" t="str">
        <f>Planilha!A15</f>
        <v>1.1.3</v>
      </c>
      <c r="C19" s="43" t="str">
        <f>VLOOKUP($B19,Planilha!$A$11:$I$193,4,FALSE)</f>
        <v>Galpão para serraria e carpintaria área 12.00m2, em peça de madeira 8x8cm e contraventamento de 5x7cm, cobertura de telha de fibroc. de 6mm, inclusive ponto e cabo de alimentação da máquina, conf. projeto (1 utilização)</v>
      </c>
      <c r="D19" s="44">
        <f>VLOOKUP($B19,Planilha!$A$11:$I$193,9,FALSE)</f>
        <v>3509.88</v>
      </c>
      <c r="E19" s="45">
        <v>1</v>
      </c>
      <c r="F19" s="46">
        <f t="shared" si="0"/>
        <v>3509.88</v>
      </c>
      <c r="G19" s="47"/>
      <c r="H19" s="46">
        <f t="shared" si="1"/>
        <v>0</v>
      </c>
      <c r="I19" s="47"/>
      <c r="J19" s="46">
        <f t="shared" si="2"/>
        <v>0</v>
      </c>
      <c r="K19" s="47"/>
      <c r="L19" s="46">
        <f t="shared" si="3"/>
        <v>0</v>
      </c>
      <c r="M19" s="47"/>
      <c r="N19" s="71">
        <f t="shared" si="4"/>
        <v>0</v>
      </c>
    </row>
    <row r="20" ht="60" spans="2:14">
      <c r="B20" s="40" t="str">
        <f>Planilha!A16</f>
        <v>1.1.4</v>
      </c>
      <c r="C20" s="43" t="str">
        <f>VLOOKUP($B20,Planilha!$A$11:$I$193,4,FALSE)</f>
        <v>Galpão para corte e armação com área de 6.00m2, em peças de madeira 8x8cm e contraventamento de 5x7cm, cobertura de telhas de fibroc. de 6mm, inclusive ponto e cabo de alimentação da máquina, conf. projeto (1 utilização)</v>
      </c>
      <c r="D20" s="44">
        <f>VLOOKUP($B20,Planilha!$A$11:$I$193,9,FALSE)</f>
        <v>2311.14</v>
      </c>
      <c r="E20" s="45">
        <v>1</v>
      </c>
      <c r="F20" s="46">
        <f t="shared" si="0"/>
        <v>2311.14</v>
      </c>
      <c r="G20" s="47"/>
      <c r="H20" s="46">
        <f t="shared" si="1"/>
        <v>0</v>
      </c>
      <c r="I20" s="47"/>
      <c r="J20" s="46">
        <f t="shared" si="2"/>
        <v>0</v>
      </c>
      <c r="K20" s="47"/>
      <c r="L20" s="46">
        <f t="shared" si="3"/>
        <v>0</v>
      </c>
      <c r="M20" s="47"/>
      <c r="N20" s="71">
        <f t="shared" si="4"/>
        <v>0</v>
      </c>
    </row>
    <row r="21" s="2" customFormat="1" spans="2:15">
      <c r="B21" s="40" t="str">
        <f>Planilha!A17</f>
        <v>1.2</v>
      </c>
      <c r="C21" s="36" t="str">
        <f>VLOOKUP($B21,Planilha!$A$11:$I$193,4,FALSE)</f>
        <v>Demoloções e Retiradas</v>
      </c>
      <c r="D21" s="37">
        <f>SUM(D22:D36)</f>
        <v>13123.76</v>
      </c>
      <c r="E21" s="41"/>
      <c r="F21" s="42"/>
      <c r="G21" s="41"/>
      <c r="H21" s="42"/>
      <c r="I21" s="41"/>
      <c r="J21" s="42"/>
      <c r="K21" s="41"/>
      <c r="L21" s="42"/>
      <c r="M21" s="41"/>
      <c r="N21" s="70"/>
      <c r="O21"/>
    </row>
    <row r="22" spans="2:14">
      <c r="B22" s="40" t="str">
        <f>Planilha!A18</f>
        <v>1.2.1</v>
      </c>
      <c r="C22" s="43" t="str">
        <f>VLOOKUP($B22,Planilha!$A$11:$I$193,4,FALSE)</f>
        <v>Retirada de revestimento antigo em reboco</v>
      </c>
      <c r="D22" s="44">
        <f>VLOOKUP($B22,Planilha!$A$11:$I$193,9,FALSE)</f>
        <v>1643.13</v>
      </c>
      <c r="E22" s="45"/>
      <c r="F22" s="46">
        <f t="shared" si="0"/>
        <v>0</v>
      </c>
      <c r="G22" s="45">
        <v>1</v>
      </c>
      <c r="H22" s="46">
        <f t="shared" ref="H22:H36" si="5">G22*$D22</f>
        <v>1643.13</v>
      </c>
      <c r="I22" s="47"/>
      <c r="J22" s="46">
        <f t="shared" ref="J22:J36" si="6">I22*$D22</f>
        <v>0</v>
      </c>
      <c r="K22" s="47"/>
      <c r="L22" s="46">
        <f t="shared" ref="L22:L36" si="7">K22*$D22</f>
        <v>0</v>
      </c>
      <c r="M22" s="47"/>
      <c r="N22" s="71">
        <f t="shared" ref="N22:N36" si="8">M22*$D22</f>
        <v>0</v>
      </c>
    </row>
    <row r="23" spans="2:14">
      <c r="B23" s="40" t="str">
        <f>Planilha!A19</f>
        <v>1.2.2</v>
      </c>
      <c r="C23" s="43" t="str">
        <f>VLOOKUP($B23,Planilha!$A$11:$I$193,4,FALSE)</f>
        <v>Apicoamento de superfície com revestimento em argamassa</v>
      </c>
      <c r="D23" s="44">
        <f>VLOOKUP($B23,Planilha!$A$11:$I$193,9,FALSE)</f>
        <v>2726.26</v>
      </c>
      <c r="E23" s="45">
        <v>1</v>
      </c>
      <c r="F23" s="46">
        <f t="shared" ref="F23:F36" si="9">E23*$D23</f>
        <v>2726.26</v>
      </c>
      <c r="G23" s="45"/>
      <c r="H23" s="46">
        <f t="shared" si="5"/>
        <v>0</v>
      </c>
      <c r="I23" s="45"/>
      <c r="J23" s="46">
        <f t="shared" si="6"/>
        <v>0</v>
      </c>
      <c r="K23" s="47"/>
      <c r="L23" s="46">
        <f t="shared" si="7"/>
        <v>0</v>
      </c>
      <c r="M23" s="47"/>
      <c r="N23" s="71">
        <f t="shared" si="8"/>
        <v>0</v>
      </c>
    </row>
    <row r="24" ht="30" spans="2:14">
      <c r="B24" s="40" t="str">
        <f>Planilha!A20</f>
        <v>1.2.3</v>
      </c>
      <c r="C24" s="43" t="str">
        <f>VLOOKUP($B24,Planilha!$A$11:$I$193,4,FALSE)</f>
        <v>Lixamento de parede com pintura antiga PVA para recebimento de nova camada de tinta</v>
      </c>
      <c r="D24" s="44">
        <f>VLOOKUP($B24,Planilha!$A$11:$I$193,9,FALSE)</f>
        <v>2647.37</v>
      </c>
      <c r="E24" s="45"/>
      <c r="F24" s="46">
        <f t="shared" si="9"/>
        <v>0</v>
      </c>
      <c r="G24" s="47"/>
      <c r="H24" s="46">
        <f t="shared" si="5"/>
        <v>0</v>
      </c>
      <c r="I24" s="45">
        <v>1</v>
      </c>
      <c r="J24" s="46">
        <f t="shared" si="6"/>
        <v>2647.37</v>
      </c>
      <c r="K24" s="47"/>
      <c r="L24" s="46">
        <f t="shared" si="7"/>
        <v>0</v>
      </c>
      <c r="M24" s="47"/>
      <c r="N24" s="71">
        <f t="shared" si="8"/>
        <v>0</v>
      </c>
    </row>
    <row r="25" spans="2:14">
      <c r="B25" s="40" t="str">
        <f>Planilha!A21</f>
        <v>1.2.4</v>
      </c>
      <c r="C25" s="43" t="str">
        <f>VLOOKUP($B25,Planilha!$A$11:$I$193,4,FALSE)</f>
        <v>Retirada de portas e janelas de madeira, inclusive batentes</v>
      </c>
      <c r="D25" s="44">
        <f>VLOOKUP($B25,Planilha!$A$11:$I$193,9,FALSE)</f>
        <v>739.65</v>
      </c>
      <c r="E25" s="47"/>
      <c r="F25" s="46">
        <f t="shared" si="9"/>
        <v>0</v>
      </c>
      <c r="G25" s="45"/>
      <c r="H25" s="46">
        <f t="shared" si="5"/>
        <v>0</v>
      </c>
      <c r="I25" s="47"/>
      <c r="J25" s="46">
        <f t="shared" si="6"/>
        <v>0</v>
      </c>
      <c r="K25" s="45">
        <v>1</v>
      </c>
      <c r="L25" s="46">
        <f t="shared" si="7"/>
        <v>739.65</v>
      </c>
      <c r="M25" s="47"/>
      <c r="N25" s="71">
        <f t="shared" si="8"/>
        <v>0</v>
      </c>
    </row>
    <row r="26" spans="2:14">
      <c r="B26" s="40" t="str">
        <f>Planilha!A22</f>
        <v>1.2.5</v>
      </c>
      <c r="C26" s="43" t="str">
        <f>VLOOKUP($B26,Planilha!$A$11:$I$193,4,FALSE)</f>
        <v>Retirada de esquadrias metálicas</v>
      </c>
      <c r="D26" s="44">
        <f>VLOOKUP($B26,Planilha!$A$11:$I$193,9,FALSE)</f>
        <v>38.23</v>
      </c>
      <c r="E26" s="47"/>
      <c r="F26" s="46">
        <f t="shared" si="9"/>
        <v>0</v>
      </c>
      <c r="G26" s="45"/>
      <c r="H26" s="46">
        <f t="shared" si="5"/>
        <v>0</v>
      </c>
      <c r="I26" s="47"/>
      <c r="J26" s="46">
        <f t="shared" si="6"/>
        <v>0</v>
      </c>
      <c r="K26" s="45">
        <v>1</v>
      </c>
      <c r="L26" s="46">
        <f t="shared" si="7"/>
        <v>38.23</v>
      </c>
      <c r="M26" s="47"/>
      <c r="N26" s="71">
        <f t="shared" si="8"/>
        <v>0</v>
      </c>
    </row>
    <row r="27" spans="2:14">
      <c r="B27" s="40" t="str">
        <f>Planilha!A23</f>
        <v>1.2.6</v>
      </c>
      <c r="C27" s="43" t="str">
        <f>VLOOKUP($B27,Planilha!$A$11:$I$193,4,FALSE)</f>
        <v>Retirada de pontos elétricos (luminárias, interruptores e tomadas)</v>
      </c>
      <c r="D27" s="44">
        <f>VLOOKUP($B27,Planilha!$A$11:$I$193,9,FALSE)</f>
        <v>883.88</v>
      </c>
      <c r="E27" s="45">
        <v>1</v>
      </c>
      <c r="F27" s="46">
        <f t="shared" si="9"/>
        <v>883.88</v>
      </c>
      <c r="G27" s="45"/>
      <c r="H27" s="46">
        <f t="shared" si="5"/>
        <v>0</v>
      </c>
      <c r="I27" s="45"/>
      <c r="J27" s="46">
        <f t="shared" si="6"/>
        <v>0</v>
      </c>
      <c r="K27" s="47"/>
      <c r="L27" s="46">
        <f t="shared" si="7"/>
        <v>0</v>
      </c>
      <c r="M27" s="47"/>
      <c r="N27" s="71">
        <f t="shared" si="8"/>
        <v>0</v>
      </c>
    </row>
    <row r="28" ht="30" spans="2:14">
      <c r="B28" s="40" t="str">
        <f>Planilha!A24</f>
        <v>1.2.7</v>
      </c>
      <c r="C28" s="43" t="str">
        <f>VLOOKUP($B28,Planilha!$A$11:$I$193,4,FALSE)</f>
        <v>Remoção de pintura antiga a base de óleo ou esmalte sobre esquadrias</v>
      </c>
      <c r="D28" s="44">
        <f>VLOOKUP($B28,Planilha!$A$11:$I$193,9,FALSE)</f>
        <v>858.84</v>
      </c>
      <c r="E28" s="45">
        <v>1</v>
      </c>
      <c r="F28" s="46">
        <f t="shared" si="9"/>
        <v>858.84</v>
      </c>
      <c r="G28" s="47"/>
      <c r="H28" s="46">
        <f t="shared" si="5"/>
        <v>0</v>
      </c>
      <c r="I28" s="45"/>
      <c r="J28" s="46">
        <f t="shared" si="6"/>
        <v>0</v>
      </c>
      <c r="K28" s="47"/>
      <c r="L28" s="46">
        <f t="shared" si="7"/>
        <v>0</v>
      </c>
      <c r="M28" s="47"/>
      <c r="N28" s="71">
        <f t="shared" si="8"/>
        <v>0</v>
      </c>
    </row>
    <row r="29" spans="2:14">
      <c r="B29" s="40" t="str">
        <f>Planilha!A25</f>
        <v>1.2.8</v>
      </c>
      <c r="C29" s="43" t="str">
        <f>VLOOKUP($B29,Planilha!$A$11:$I$193,4,FALSE)</f>
        <v>Demolição de piso cimentado inclusive lastro de concreto</v>
      </c>
      <c r="D29" s="44">
        <f>VLOOKUP($B29,Planilha!$A$11:$I$193,9,FALSE)</f>
        <v>1347.37</v>
      </c>
      <c r="E29" s="45">
        <v>1</v>
      </c>
      <c r="F29" s="46">
        <f t="shared" si="9"/>
        <v>1347.37</v>
      </c>
      <c r="G29" s="45"/>
      <c r="H29" s="46">
        <f t="shared" si="5"/>
        <v>0</v>
      </c>
      <c r="I29" s="47"/>
      <c r="J29" s="46">
        <f t="shared" si="6"/>
        <v>0</v>
      </c>
      <c r="K29" s="47"/>
      <c r="L29" s="46">
        <f t="shared" si="7"/>
        <v>0</v>
      </c>
      <c r="M29" s="47"/>
      <c r="N29" s="71">
        <f t="shared" si="8"/>
        <v>0</v>
      </c>
    </row>
    <row r="30" spans="2:14">
      <c r="B30" s="40" t="str">
        <f>Planilha!A26</f>
        <v>1.2.9</v>
      </c>
      <c r="C30" s="43" t="str">
        <f>VLOOKUP($B30,Planilha!$A$11:$I$193,4,FALSE)</f>
        <v>Retirada de grades, gradis, alambrados, cercas e portões</v>
      </c>
      <c r="D30" s="44">
        <f>VLOOKUP($B30,Planilha!$A$11:$I$193,9,FALSE)</f>
        <v>761.5</v>
      </c>
      <c r="E30" s="45">
        <v>1</v>
      </c>
      <c r="F30" s="46">
        <f t="shared" si="9"/>
        <v>761.5</v>
      </c>
      <c r="G30" s="47"/>
      <c r="H30" s="46">
        <f t="shared" si="5"/>
        <v>0</v>
      </c>
      <c r="I30" s="47"/>
      <c r="J30" s="46">
        <f t="shared" si="6"/>
        <v>0</v>
      </c>
      <c r="K30" s="47"/>
      <c r="L30" s="46">
        <f t="shared" si="7"/>
        <v>0</v>
      </c>
      <c r="M30" s="47"/>
      <c r="N30" s="71">
        <f t="shared" si="8"/>
        <v>0</v>
      </c>
    </row>
    <row r="31" spans="2:14">
      <c r="B31" s="40" t="str">
        <f>Planilha!A27</f>
        <v>1.2.10</v>
      </c>
      <c r="C31" s="43" t="str">
        <f>VLOOKUP($B31,Planilha!$A$11:$I$193,4,FALSE)</f>
        <v>Demolição de alvenaria</v>
      </c>
      <c r="D31" s="44">
        <f>VLOOKUP($B31,Planilha!$A$11:$I$193,9,FALSE)</f>
        <v>553.64</v>
      </c>
      <c r="E31" s="45">
        <v>1</v>
      </c>
      <c r="F31" s="46">
        <f t="shared" si="9"/>
        <v>553.64</v>
      </c>
      <c r="G31" s="45"/>
      <c r="H31" s="46">
        <f t="shared" si="5"/>
        <v>0</v>
      </c>
      <c r="I31" s="45"/>
      <c r="J31" s="46">
        <f t="shared" si="6"/>
        <v>0</v>
      </c>
      <c r="K31" s="47"/>
      <c r="L31" s="46">
        <f t="shared" si="7"/>
        <v>0</v>
      </c>
      <c r="M31" s="47"/>
      <c r="N31" s="71">
        <f t="shared" si="8"/>
        <v>0</v>
      </c>
    </row>
    <row r="32" spans="2:14">
      <c r="B32" s="40" t="str">
        <f>Planilha!A28</f>
        <v>1.2.11</v>
      </c>
      <c r="C32" s="43" t="str">
        <f>VLOOKUP($B32,Planilha!$A$11:$I$193,4,FALSE)</f>
        <v>Remoção de telha cerâmica, tipo francesa, inclusive cumeeira</v>
      </c>
      <c r="D32" s="44">
        <f>VLOOKUP($B32,Planilha!$A$11:$I$193,9,FALSE)</f>
        <v>222.25</v>
      </c>
      <c r="E32" s="45">
        <v>1</v>
      </c>
      <c r="F32" s="46">
        <f t="shared" si="9"/>
        <v>222.25</v>
      </c>
      <c r="G32" s="47"/>
      <c r="H32" s="46">
        <f t="shared" si="5"/>
        <v>0</v>
      </c>
      <c r="I32" s="47"/>
      <c r="J32" s="46">
        <f t="shared" si="6"/>
        <v>0</v>
      </c>
      <c r="K32" s="47"/>
      <c r="L32" s="46">
        <f t="shared" si="7"/>
        <v>0</v>
      </c>
      <c r="M32" s="47"/>
      <c r="N32" s="71">
        <f t="shared" si="8"/>
        <v>0</v>
      </c>
    </row>
    <row r="33" spans="2:14">
      <c r="B33" s="40" t="str">
        <f>Planilha!A29</f>
        <v>1.2.12</v>
      </c>
      <c r="C33" s="43" t="str">
        <f>VLOOKUP($B33,Planilha!$A$11:$I$193,4,FALSE)</f>
        <v>Demolição de estrutura em madeira de telhado</v>
      </c>
      <c r="D33" s="44">
        <f>VLOOKUP($B33,Planilha!$A$11:$I$193,9,FALSE)</f>
        <v>669.36</v>
      </c>
      <c r="E33" s="45">
        <v>1</v>
      </c>
      <c r="F33" s="46">
        <f t="shared" si="9"/>
        <v>669.36</v>
      </c>
      <c r="G33" s="47"/>
      <c r="H33" s="46">
        <f t="shared" si="5"/>
        <v>0</v>
      </c>
      <c r="I33" s="47"/>
      <c r="J33" s="46">
        <f t="shared" si="6"/>
        <v>0</v>
      </c>
      <c r="K33" s="47"/>
      <c r="L33" s="46">
        <f t="shared" si="7"/>
        <v>0</v>
      </c>
      <c r="M33" s="47"/>
      <c r="N33" s="71">
        <f t="shared" si="8"/>
        <v>0</v>
      </c>
    </row>
    <row r="34" spans="2:14">
      <c r="B34" s="40" t="str">
        <f>Planilha!A30</f>
        <v>1.2.13</v>
      </c>
      <c r="C34" s="43" t="str">
        <f>VLOOKUP($B34,Planilha!$A$11:$I$193,4,FALSE)</f>
        <v>Retirada de marco de madeira</v>
      </c>
      <c r="D34" s="44">
        <f>VLOOKUP($B34,Planilha!$A$11:$I$193,9,FALSE)</f>
        <v>13.2</v>
      </c>
      <c r="E34" s="47"/>
      <c r="F34" s="46">
        <f t="shared" si="9"/>
        <v>0</v>
      </c>
      <c r="G34" s="45"/>
      <c r="H34" s="46">
        <f t="shared" si="5"/>
        <v>0</v>
      </c>
      <c r="I34" s="47"/>
      <c r="J34" s="46">
        <f t="shared" si="6"/>
        <v>0</v>
      </c>
      <c r="K34" s="45">
        <v>1</v>
      </c>
      <c r="L34" s="46">
        <f t="shared" si="7"/>
        <v>13.2</v>
      </c>
      <c r="M34" s="47"/>
      <c r="N34" s="71">
        <f t="shared" si="8"/>
        <v>0</v>
      </c>
    </row>
    <row r="35" spans="2:14">
      <c r="B35" s="40" t="str">
        <f>Planilha!A31</f>
        <v>1.2.14</v>
      </c>
      <c r="C35" s="43" t="str">
        <f>VLOOKUP($B35,Planilha!$A$11:$I$193,4,FALSE)</f>
        <v>Retirada de alizar de madeira</v>
      </c>
      <c r="D35" s="44">
        <f>VLOOKUP($B35,Planilha!$A$11:$I$193,9,FALSE)</f>
        <v>3.3</v>
      </c>
      <c r="E35" s="47"/>
      <c r="F35" s="46">
        <f t="shared" si="9"/>
        <v>0</v>
      </c>
      <c r="G35" s="45"/>
      <c r="H35" s="46">
        <f t="shared" si="5"/>
        <v>0</v>
      </c>
      <c r="I35" s="47"/>
      <c r="J35" s="46">
        <f t="shared" si="6"/>
        <v>0</v>
      </c>
      <c r="K35" s="45">
        <v>1</v>
      </c>
      <c r="L35" s="46">
        <f t="shared" si="7"/>
        <v>3.3</v>
      </c>
      <c r="M35" s="47"/>
      <c r="N35" s="71">
        <f t="shared" si="8"/>
        <v>0</v>
      </c>
    </row>
    <row r="36" spans="2:14">
      <c r="B36" s="40" t="str">
        <f>Planilha!A32</f>
        <v>1.2.15</v>
      </c>
      <c r="C36" s="43" t="str">
        <f>VLOOKUP($B36,Planilha!$A$11:$I$193,4,FALSE)</f>
        <v>Retirada de caixas/quadros elétricos</v>
      </c>
      <c r="D36" s="44">
        <f>VLOOKUP($B36,Planilha!$A$11:$I$193,9,FALSE)</f>
        <v>15.78</v>
      </c>
      <c r="E36" s="45">
        <v>1</v>
      </c>
      <c r="F36" s="46">
        <f t="shared" si="9"/>
        <v>15.78</v>
      </c>
      <c r="G36" s="45"/>
      <c r="H36" s="46">
        <f t="shared" si="5"/>
        <v>0</v>
      </c>
      <c r="I36" s="45"/>
      <c r="J36" s="46">
        <f t="shared" si="6"/>
        <v>0</v>
      </c>
      <c r="K36" s="47"/>
      <c r="L36" s="46">
        <f t="shared" si="7"/>
        <v>0</v>
      </c>
      <c r="M36" s="47"/>
      <c r="N36" s="71">
        <f t="shared" si="8"/>
        <v>0</v>
      </c>
    </row>
    <row r="37" s="2" customFormat="1" spans="2:15">
      <c r="B37" s="40" t="str">
        <f>Planilha!A33</f>
        <v>1.3</v>
      </c>
      <c r="C37" s="36" t="str">
        <f>VLOOKUP($B37,Planilha!$A$11:$I$193,4,FALSE)</f>
        <v>Paredes e paineis</v>
      </c>
      <c r="D37" s="37">
        <f>SUM(D38:D40)</f>
        <v>2932.06</v>
      </c>
      <c r="E37" s="41"/>
      <c r="F37" s="42"/>
      <c r="G37" s="41"/>
      <c r="H37" s="42"/>
      <c r="I37" s="41"/>
      <c r="J37" s="42"/>
      <c r="K37" s="41"/>
      <c r="L37" s="42"/>
      <c r="M37" s="41"/>
      <c r="N37" s="70"/>
      <c r="O37"/>
    </row>
    <row r="38" ht="30" spans="2:14">
      <c r="B38" s="40" t="str">
        <f>Planilha!A34</f>
        <v>1.3.1</v>
      </c>
      <c r="C38" s="43" t="str">
        <f>VLOOKUP($B38,Planilha!$A$11:$I$193,4,FALSE)</f>
        <v>Verga/Contraverga de concreto armado 10x5 cm, Fck = 15Mpa, inclusive forma armação e desforma.</v>
      </c>
      <c r="D38" s="44">
        <f>VLOOKUP($B38,Planilha!$A$11:$I$193,9,FALSE)</f>
        <v>622.55</v>
      </c>
      <c r="E38" s="45">
        <v>0</v>
      </c>
      <c r="F38" s="46">
        <f t="shared" ref="F38:F42" si="10">E38*$D38</f>
        <v>0</v>
      </c>
      <c r="G38" s="45">
        <v>1</v>
      </c>
      <c r="H38" s="46">
        <f t="shared" ref="H38:H40" si="11">G38*$D38</f>
        <v>622.55</v>
      </c>
      <c r="I38" s="45"/>
      <c r="J38" s="46">
        <f t="shared" ref="J38:J40" si="12">I38*$D38</f>
        <v>0</v>
      </c>
      <c r="K38" s="45"/>
      <c r="L38" s="46">
        <f t="shared" ref="L38:L40" si="13">K38*$D38</f>
        <v>0</v>
      </c>
      <c r="M38" s="45"/>
      <c r="N38" s="71">
        <f t="shared" ref="N38:N40" si="14">M38*$D38</f>
        <v>0</v>
      </c>
    </row>
    <row r="39" ht="60" spans="2:14">
      <c r="B39" s="40" t="str">
        <f>Planilha!A35</f>
        <v>1.3.2</v>
      </c>
      <c r="C39" s="43" t="str">
        <f>VLOOKUP($B39,Planilha!$A$11:$I$193,4,FALSE)</f>
        <v>Alvenaria de blocos cerâmicos 10 furos 10x20x20cm, assentados c/argamassa de cimento, cal hidratada CH1 e areia traço 1:0,5:8, esp. das juntas 12mm e esp. das paredes s/revestimento, 10cm (bloco comprado na fábrica, posto obra).</v>
      </c>
      <c r="D39" s="44">
        <f>VLOOKUP($B39,Planilha!$A$11:$I$193,9,FALSE)</f>
        <v>2029.26</v>
      </c>
      <c r="E39" s="45">
        <v>0</v>
      </c>
      <c r="F39" s="46">
        <f t="shared" si="10"/>
        <v>0</v>
      </c>
      <c r="G39" s="45">
        <v>1</v>
      </c>
      <c r="H39" s="46">
        <f t="shared" si="11"/>
        <v>2029.26</v>
      </c>
      <c r="I39" s="45"/>
      <c r="J39" s="46">
        <f t="shared" si="12"/>
        <v>0</v>
      </c>
      <c r="K39" s="45"/>
      <c r="L39" s="46">
        <f t="shared" si="13"/>
        <v>0</v>
      </c>
      <c r="M39" s="45"/>
      <c r="N39" s="71">
        <f t="shared" si="14"/>
        <v>0</v>
      </c>
    </row>
    <row r="40" ht="45" spans="2:14">
      <c r="B40" s="40" t="str">
        <f>Planilha!A36</f>
        <v>1.3.3</v>
      </c>
      <c r="C40" s="43" t="str">
        <f>VLOOKUP($B40,Planilha!$A$11:$I$193,4,FALSE)</f>
        <v>Alvenaria de blocos de concreto estrut. (14x19x39cm) cheios, c/ resist. mín. compr. 15MPa, assentados c/ arg. de cimento e areia no traço 1:4, esp. juntas 10mm e esp. da parede s/ revest. 14cm</v>
      </c>
      <c r="D40" s="44">
        <f>VLOOKUP($B40,Planilha!$A$11:$I$193,9,FALSE)</f>
        <v>280.25</v>
      </c>
      <c r="E40" s="45">
        <v>1</v>
      </c>
      <c r="F40" s="46">
        <f t="shared" si="10"/>
        <v>280.25</v>
      </c>
      <c r="G40" s="45"/>
      <c r="H40" s="46">
        <f t="shared" si="11"/>
        <v>0</v>
      </c>
      <c r="I40" s="45"/>
      <c r="J40" s="46">
        <f t="shared" si="12"/>
        <v>0</v>
      </c>
      <c r="K40" s="45"/>
      <c r="L40" s="46">
        <f t="shared" si="13"/>
        <v>0</v>
      </c>
      <c r="M40" s="45"/>
      <c r="N40" s="71">
        <f t="shared" si="14"/>
        <v>0</v>
      </c>
    </row>
    <row r="41" s="2" customFormat="1" spans="2:15">
      <c r="B41" s="40" t="str">
        <f>Planilha!A37</f>
        <v>1.4</v>
      </c>
      <c r="C41" s="36" t="str">
        <f>VLOOKUP($B41,Planilha!$A$11:$I$193,4,FALSE)</f>
        <v>Esquadrias de madeira</v>
      </c>
      <c r="D41" s="37">
        <f>SUM(D42:D48)</f>
        <v>22273.23</v>
      </c>
      <c r="E41" s="41"/>
      <c r="F41" s="42"/>
      <c r="G41" s="41"/>
      <c r="H41" s="42"/>
      <c r="I41" s="41"/>
      <c r="J41" s="42"/>
      <c r="K41" s="41"/>
      <c r="L41" s="42"/>
      <c r="M41" s="41"/>
      <c r="N41" s="70"/>
      <c r="O41"/>
    </row>
    <row r="42" ht="45" spans="2:14">
      <c r="B42" s="40" t="str">
        <f>Planilha!A38</f>
        <v>1.4.1</v>
      </c>
      <c r="C42" s="43" t="str">
        <f>VLOOKUP($B42,Planilha!$A$11:$I$193,4,FALSE)</f>
        <v>Marco de madeira de lei de 1ª (Peroba, Ipê, Angelim Pedra ou equivalente) com 15x3 cm de batente, nas dimensões de 0.60 x 2.10 m</v>
      </c>
      <c r="D42" s="44">
        <f>VLOOKUP($B42,Planilha!$A$11:$I$193,9,FALSE)</f>
        <v>463.46</v>
      </c>
      <c r="E42" s="47"/>
      <c r="F42" s="46">
        <f t="shared" si="10"/>
        <v>0</v>
      </c>
      <c r="G42" s="47"/>
      <c r="H42" s="46">
        <f t="shared" ref="H42:H48" si="15">G42*$D42</f>
        <v>0</v>
      </c>
      <c r="I42" s="47"/>
      <c r="J42" s="46">
        <f t="shared" ref="J42:J48" si="16">I42*$D42</f>
        <v>0</v>
      </c>
      <c r="K42" s="45"/>
      <c r="L42" s="46">
        <f t="shared" ref="L42:L48" si="17">K42*$D42</f>
        <v>0</v>
      </c>
      <c r="M42" s="45">
        <v>1</v>
      </c>
      <c r="N42" s="71">
        <f t="shared" ref="N42:N48" si="18">M42*$D42</f>
        <v>463.46</v>
      </c>
    </row>
    <row r="43" ht="45" spans="2:14">
      <c r="B43" s="40" t="str">
        <f>Planilha!A39</f>
        <v>1.4.2</v>
      </c>
      <c r="C43" s="43" t="str">
        <f>VLOOKUP($B43,Planilha!$A$11:$I$193,4,FALSE)</f>
        <v>Marco de madeira de lei de 1ª (Peroba, Ipê, Angelim Pedra ou equivalente) com 15x3 cm de batente, nas dimensões de 0.70 x 2.10 m</v>
      </c>
      <c r="D43" s="44">
        <f>VLOOKUP($B43,Planilha!$A$11:$I$193,9,FALSE)</f>
        <v>926.92</v>
      </c>
      <c r="E43" s="47"/>
      <c r="F43" s="46">
        <f t="shared" ref="F43:F48" si="19">E43*$D43</f>
        <v>0</v>
      </c>
      <c r="G43" s="47"/>
      <c r="H43" s="46">
        <f t="shared" si="15"/>
        <v>0</v>
      </c>
      <c r="I43" s="47"/>
      <c r="J43" s="46">
        <f t="shared" si="16"/>
        <v>0</v>
      </c>
      <c r="K43" s="45"/>
      <c r="L43" s="46">
        <f t="shared" si="17"/>
        <v>0</v>
      </c>
      <c r="M43" s="45">
        <v>1</v>
      </c>
      <c r="N43" s="71">
        <f t="shared" si="18"/>
        <v>926.92</v>
      </c>
    </row>
    <row r="44" ht="45" spans="2:14">
      <c r="B44" s="40" t="str">
        <f>Planilha!A40</f>
        <v>1.4.3</v>
      </c>
      <c r="C44" s="43" t="str">
        <f>VLOOKUP($B44,Planilha!$A$11:$I$193,4,FALSE)</f>
        <v>Marco de madeira de lei de 1ª (Peroba, Ipê, Angelim Pedra ou equivalente) com 15x3 cm de batente, nas dimensões de 0.80 x 2.10 m</v>
      </c>
      <c r="D44" s="44">
        <f>VLOOKUP($B44,Planilha!$A$11:$I$193,9,FALSE)</f>
        <v>3707.68</v>
      </c>
      <c r="E44" s="47"/>
      <c r="F44" s="46">
        <f t="shared" si="19"/>
        <v>0</v>
      </c>
      <c r="G44" s="47"/>
      <c r="H44" s="46">
        <f t="shared" si="15"/>
        <v>0</v>
      </c>
      <c r="I44" s="47"/>
      <c r="J44" s="46">
        <f t="shared" si="16"/>
        <v>0</v>
      </c>
      <c r="K44" s="45"/>
      <c r="L44" s="46">
        <f t="shared" si="17"/>
        <v>0</v>
      </c>
      <c r="M44" s="45">
        <v>1</v>
      </c>
      <c r="N44" s="71">
        <f t="shared" si="18"/>
        <v>3707.68</v>
      </c>
    </row>
    <row r="45" ht="60" spans="2:14">
      <c r="B45" s="40" t="str">
        <f>Planilha!A41</f>
        <v>1.4.4</v>
      </c>
      <c r="C45" s="43" t="str">
        <f>VLOOKUP($B45,Planilha!$A$11:$I$193,4,FALSE)</f>
        <v>Porta em madeira de lei tipo angelim pedra ou equiv.c/enchimento em madeira 1a.qualidade esp. 30mm p/ pintura, inclusive alizares, dobradiças e fechadura externa em latão cromado LaFonte ou equiv., exclusive marco, nas dim.:0.60 x 2.10 m</v>
      </c>
      <c r="D45" s="44">
        <f>VLOOKUP($B45,Planilha!$A$11:$I$193,9,FALSE)</f>
        <v>1172.13</v>
      </c>
      <c r="E45" s="47"/>
      <c r="F45" s="46">
        <f t="shared" si="19"/>
        <v>0</v>
      </c>
      <c r="G45" s="47"/>
      <c r="H45" s="46">
        <f t="shared" si="15"/>
        <v>0</v>
      </c>
      <c r="I45" s="47"/>
      <c r="J45" s="46">
        <f t="shared" si="16"/>
        <v>0</v>
      </c>
      <c r="K45" s="45"/>
      <c r="L45" s="46">
        <f t="shared" si="17"/>
        <v>0</v>
      </c>
      <c r="M45" s="45">
        <v>1</v>
      </c>
      <c r="N45" s="71">
        <f t="shared" si="18"/>
        <v>1172.13</v>
      </c>
    </row>
    <row r="46" ht="60" spans="2:14">
      <c r="B46" s="40" t="str">
        <f>Planilha!A42</f>
        <v>1.4.5</v>
      </c>
      <c r="C46" s="43" t="str">
        <f>VLOOKUP($B46,Planilha!$A$11:$I$193,4,FALSE)</f>
        <v>Porta em madeira de lei tipo angelim pedra ou equiv.c/enchimento em madeira 1a.qualidade esp. 30mm p/ pintura, inclusive alizares, dobradiças e fechadura externa em latão cromado LaFonte ou equiv., exclusive marco, nas dim.:0.70 x 2.10 m</v>
      </c>
      <c r="D46" s="44">
        <f>VLOOKUP($B46,Planilha!$A$11:$I$193,9,FALSE)</f>
        <v>2365.18</v>
      </c>
      <c r="E46" s="47"/>
      <c r="F46" s="46">
        <f t="shared" si="19"/>
        <v>0</v>
      </c>
      <c r="G46" s="47"/>
      <c r="H46" s="46">
        <f t="shared" si="15"/>
        <v>0</v>
      </c>
      <c r="I46" s="47"/>
      <c r="J46" s="46">
        <f t="shared" si="16"/>
        <v>0</v>
      </c>
      <c r="K46" s="45"/>
      <c r="L46" s="46">
        <f t="shared" si="17"/>
        <v>0</v>
      </c>
      <c r="M46" s="45">
        <v>1</v>
      </c>
      <c r="N46" s="71">
        <f t="shared" si="18"/>
        <v>2365.18</v>
      </c>
    </row>
    <row r="47" ht="60" spans="2:14">
      <c r="B47" s="40" t="str">
        <f>Planilha!A43</f>
        <v>1.4.6</v>
      </c>
      <c r="C47" s="43" t="str">
        <f>VLOOKUP($B47,Planilha!$A$11:$I$193,4,FALSE)</f>
        <v>Porta em madeira de lei tipo angelim pedra ou equiv.c/enchimento em madeira 1a.qualidade esp. 30mm p/ pintura, inclusive alizares, dobradiças e fechadura externa em latão cromado LaFonte ou equiv., exclusive marco, nas dim.:0.80 x 2.10 m</v>
      </c>
      <c r="D47" s="44">
        <f>VLOOKUP($B47,Planilha!$A$11:$I$193,9,FALSE)</f>
        <v>3580.41</v>
      </c>
      <c r="E47" s="47"/>
      <c r="F47" s="46">
        <f t="shared" si="19"/>
        <v>0</v>
      </c>
      <c r="G47" s="47"/>
      <c r="H47" s="46">
        <f t="shared" si="15"/>
        <v>0</v>
      </c>
      <c r="I47" s="47"/>
      <c r="J47" s="46">
        <f t="shared" si="16"/>
        <v>0</v>
      </c>
      <c r="K47" s="45"/>
      <c r="L47" s="46">
        <f t="shared" si="17"/>
        <v>0</v>
      </c>
      <c r="M47" s="45">
        <v>1</v>
      </c>
      <c r="N47" s="71">
        <f t="shared" si="18"/>
        <v>3580.41</v>
      </c>
    </row>
    <row r="48" ht="60" spans="2:14">
      <c r="B48" s="40" t="str">
        <f>Planilha!A44</f>
        <v>1.4.7</v>
      </c>
      <c r="C48" s="43" t="str">
        <f>VLOOKUP($B48,Planilha!$A$11:$I$193,4,FALSE)</f>
        <v>Porta em madeira de lei tipo angelim pedra ou equiv.,esp. 35 mm, maciça c/ friso p/ verniz, padrão SEDU, com visor, inclusive alizares, dobradiças e fechadura de bola ext. em latão cromado LaFonte ou equiv., excl.marco, dimensões: 0.80 x 2.10 m</v>
      </c>
      <c r="D48" s="44">
        <f>VLOOKUP($B48,Planilha!$A$11:$I$193,9,FALSE)</f>
        <v>10057.45</v>
      </c>
      <c r="E48" s="47"/>
      <c r="F48" s="46">
        <f t="shared" si="19"/>
        <v>0</v>
      </c>
      <c r="G48" s="47"/>
      <c r="H48" s="46">
        <f t="shared" si="15"/>
        <v>0</v>
      </c>
      <c r="I48" s="47"/>
      <c r="J48" s="46">
        <f t="shared" si="16"/>
        <v>0</v>
      </c>
      <c r="K48" s="45"/>
      <c r="L48" s="46">
        <f t="shared" si="17"/>
        <v>0</v>
      </c>
      <c r="M48" s="45">
        <v>1</v>
      </c>
      <c r="N48" s="71">
        <f t="shared" si="18"/>
        <v>10057.45</v>
      </c>
    </row>
    <row r="49" s="2" customFormat="1" spans="2:15">
      <c r="B49" s="40" t="str">
        <f>Planilha!A45</f>
        <v>1.5</v>
      </c>
      <c r="C49" s="36" t="str">
        <f>VLOOKUP($B49,Planilha!$A$11:$I$193,4,FALSE)</f>
        <v>Esquadrias metálicas</v>
      </c>
      <c r="D49" s="37">
        <f>SUM(D50:D54)</f>
        <v>59132.22</v>
      </c>
      <c r="E49" s="41"/>
      <c r="F49" s="42"/>
      <c r="G49" s="41"/>
      <c r="H49" s="42"/>
      <c r="I49" s="41"/>
      <c r="J49" s="42"/>
      <c r="K49" s="41"/>
      <c r="L49" s="42"/>
      <c r="M49" s="41"/>
      <c r="N49" s="70"/>
      <c r="O49"/>
    </row>
    <row r="50" spans="2:14">
      <c r="B50" s="40" t="str">
        <f>Planilha!A46</f>
        <v>1.5.1</v>
      </c>
      <c r="C50" s="43" t="str">
        <f>VLOOKUP($B50,Planilha!$A$11:$I$193,4,FALSE)</f>
        <v>Grade de ferro em barra chata, inclusive chumbamento</v>
      </c>
      <c r="D50" s="44">
        <f>VLOOKUP($B50,Planilha!$A$11:$I$193,9,FALSE)</f>
        <v>19275.03</v>
      </c>
      <c r="E50" s="47"/>
      <c r="F50" s="46">
        <f>E50*$D50</f>
        <v>0</v>
      </c>
      <c r="G50" s="47"/>
      <c r="H50" s="46">
        <f t="shared" ref="H50:H54" si="20">G50*$D50</f>
        <v>0</v>
      </c>
      <c r="I50" s="45"/>
      <c r="J50" s="46">
        <f t="shared" ref="J50:J54" si="21">I50*$D50</f>
        <v>0</v>
      </c>
      <c r="K50" s="45"/>
      <c r="L50" s="46">
        <f t="shared" ref="L50:L54" si="22">K50*$D50</f>
        <v>0</v>
      </c>
      <c r="M50" s="45">
        <v>1</v>
      </c>
      <c r="N50" s="71">
        <f t="shared" ref="N50:N54" si="23">M50*$D50</f>
        <v>19275.03</v>
      </c>
    </row>
    <row r="51" ht="45" spans="2:14">
      <c r="B51" s="40" t="str">
        <f>Planilha!A47</f>
        <v>1.5.2</v>
      </c>
      <c r="C51" s="43" t="str">
        <f>VLOOKUP($B51,Planilha!$A$11:$I$193,4,FALSE)</f>
        <v>Janela de correr para vidro em alumínio anodizado cor natural, linha 25, completa, incl. puxador com tranca, alizar, caixilho e contramarco, exclusive vidro</v>
      </c>
      <c r="D51" s="44">
        <v>34217.02</v>
      </c>
      <c r="E51" s="47"/>
      <c r="F51" s="46">
        <f t="shared" ref="F51:F57" si="24">E51*$D51</f>
        <v>0</v>
      </c>
      <c r="G51" s="47"/>
      <c r="H51" s="46">
        <f t="shared" si="20"/>
        <v>0</v>
      </c>
      <c r="I51" s="45"/>
      <c r="J51" s="46">
        <f t="shared" si="21"/>
        <v>0</v>
      </c>
      <c r="K51" s="45"/>
      <c r="L51" s="46">
        <f t="shared" si="22"/>
        <v>0</v>
      </c>
      <c r="M51" s="45">
        <v>1</v>
      </c>
      <c r="N51" s="71">
        <f t="shared" si="23"/>
        <v>34217.02</v>
      </c>
    </row>
    <row r="52" ht="45" spans="2:14">
      <c r="B52" s="40" t="str">
        <f>Planilha!A48</f>
        <v>1.5.3</v>
      </c>
      <c r="C52" s="43" t="str">
        <f>VLOOKUP($B52,Planilha!$A$11:$I$193,4,FALSE)</f>
        <v>Janela tipo maxim-ar para vidro em alumínio anodizado natural, linha 25, completa, incl. puxador com tranca, caixilho, alizar e contramarco, exclusive vidro</v>
      </c>
      <c r="D52" s="44">
        <f>VLOOKUP($B52,Planilha!$A$11:$I$193,9,FALSE)</f>
        <v>614.06</v>
      </c>
      <c r="E52" s="47"/>
      <c r="F52" s="46">
        <f t="shared" si="24"/>
        <v>0</v>
      </c>
      <c r="G52" s="47"/>
      <c r="H52" s="46">
        <f t="shared" si="20"/>
        <v>0</v>
      </c>
      <c r="I52" s="45"/>
      <c r="J52" s="46">
        <f t="shared" si="21"/>
        <v>0</v>
      </c>
      <c r="K52" s="45"/>
      <c r="L52" s="46">
        <f t="shared" si="22"/>
        <v>0</v>
      </c>
      <c r="M52" s="45">
        <v>1</v>
      </c>
      <c r="N52" s="71">
        <f t="shared" si="23"/>
        <v>614.06</v>
      </c>
    </row>
    <row r="53" spans="2:14">
      <c r="B53" s="40" t="str">
        <f>Planilha!A49</f>
        <v>1.5.4</v>
      </c>
      <c r="C53" s="43" t="str">
        <f>VLOOKUP($B53,Planilha!$A$11:$I$193,4,FALSE)</f>
        <v>Portão de ferro de abrir em barra chata, inclusive chumbmento</v>
      </c>
      <c r="D53" s="44">
        <f>VLOOKUP($B53,Planilha!$A$11:$I$193,9,FALSE)</f>
        <v>4414.65</v>
      </c>
      <c r="E53" s="47"/>
      <c r="F53" s="46">
        <f t="shared" si="24"/>
        <v>0</v>
      </c>
      <c r="G53" s="47"/>
      <c r="H53" s="46">
        <f t="shared" si="20"/>
        <v>0</v>
      </c>
      <c r="I53" s="45"/>
      <c r="J53" s="46">
        <f t="shared" si="21"/>
        <v>0</v>
      </c>
      <c r="K53" s="45">
        <v>1</v>
      </c>
      <c r="L53" s="46">
        <f t="shared" si="22"/>
        <v>4414.65</v>
      </c>
      <c r="M53" s="45"/>
      <c r="N53" s="71">
        <f t="shared" si="23"/>
        <v>0</v>
      </c>
    </row>
    <row r="54" ht="30" spans="2:14">
      <c r="B54" s="40" t="str">
        <f>Planilha!A50</f>
        <v>1.5.5</v>
      </c>
      <c r="C54" s="43" t="str">
        <f>VLOOKUP($B54,Planilha!$A$11:$I$193,4,FALSE)</f>
        <v>Grade de tela tipo mosquiteiro de arame galvanizado #18, fio 32, inclusive, requadro em cantoneira de ferro 1/8"x1/2"x1/2"</v>
      </c>
      <c r="D54" s="44">
        <f>VLOOKUP($B54,Planilha!$A$11:$I$193,9,FALSE)</f>
        <v>611.46</v>
      </c>
      <c r="E54" s="47"/>
      <c r="F54" s="46">
        <f t="shared" si="24"/>
        <v>0</v>
      </c>
      <c r="G54" s="47"/>
      <c r="H54" s="46">
        <f t="shared" si="20"/>
        <v>0</v>
      </c>
      <c r="I54" s="45"/>
      <c r="J54" s="46">
        <f t="shared" si="21"/>
        <v>0</v>
      </c>
      <c r="K54" s="45"/>
      <c r="L54" s="46">
        <f t="shared" si="22"/>
        <v>0</v>
      </c>
      <c r="M54" s="45">
        <v>1</v>
      </c>
      <c r="N54" s="71">
        <f t="shared" si="23"/>
        <v>611.46</v>
      </c>
    </row>
    <row r="55" s="2" customFormat="1" spans="2:15">
      <c r="B55" s="40" t="str">
        <f>Planilha!A51</f>
        <v>1.6</v>
      </c>
      <c r="C55" s="36" t="str">
        <f>VLOOKUP($B55,Planilha!$A$11:$I$193,4,FALSE)</f>
        <v>Vidros</v>
      </c>
      <c r="D55" s="37">
        <f>SUM(D56:D57)</f>
        <v>12499.82</v>
      </c>
      <c r="E55" s="41"/>
      <c r="F55" s="42"/>
      <c r="G55" s="41"/>
      <c r="H55" s="42"/>
      <c r="I55" s="41"/>
      <c r="J55" s="42"/>
      <c r="K55" s="41"/>
      <c r="L55" s="42"/>
      <c r="M55" s="41"/>
      <c r="N55" s="70"/>
      <c r="O55"/>
    </row>
    <row r="56" spans="2:14">
      <c r="B56" s="40" t="str">
        <f>Planilha!A52</f>
        <v>1.6.1</v>
      </c>
      <c r="C56" s="43" t="str">
        <f>VLOOKUP($B56,Planilha!$A$11:$I$193,4,FALSE)</f>
        <v>Vidro plano transparente liso, com 4 mm de espessura</v>
      </c>
      <c r="D56" s="44">
        <f>VLOOKUP($B56,Planilha!$A$11:$I$193,9,FALSE)</f>
        <v>12220.25</v>
      </c>
      <c r="E56" s="47"/>
      <c r="F56" s="46">
        <f t="shared" si="24"/>
        <v>0</v>
      </c>
      <c r="G56" s="47"/>
      <c r="H56" s="46">
        <f t="shared" ref="H56:H62" si="25">G56*$D56</f>
        <v>0</v>
      </c>
      <c r="I56" s="45"/>
      <c r="J56" s="46">
        <f t="shared" ref="J56:J62" si="26">I56*$D56</f>
        <v>0</v>
      </c>
      <c r="K56" s="45"/>
      <c r="L56" s="46">
        <f t="shared" ref="L56:L62" si="27">K56*$D56</f>
        <v>0</v>
      </c>
      <c r="M56" s="45">
        <v>1</v>
      </c>
      <c r="N56" s="71">
        <f t="shared" ref="N56:N62" si="28">M56*$D56</f>
        <v>12220.25</v>
      </c>
    </row>
    <row r="57" spans="2:14">
      <c r="B57" s="40" t="str">
        <f>Planilha!A53</f>
        <v>1.6.2</v>
      </c>
      <c r="C57" s="43" t="s">
        <v>146</v>
      </c>
      <c r="D57" s="44">
        <f>VLOOKUP($B57,Planilha!$A$11:$I$193,9,FALSE)</f>
        <v>279.57</v>
      </c>
      <c r="E57" s="47"/>
      <c r="F57" s="46">
        <f t="shared" si="24"/>
        <v>0</v>
      </c>
      <c r="G57" s="47"/>
      <c r="H57" s="46">
        <f t="shared" si="25"/>
        <v>0</v>
      </c>
      <c r="I57" s="45"/>
      <c r="J57" s="46">
        <f t="shared" si="26"/>
        <v>0</v>
      </c>
      <c r="K57" s="45"/>
      <c r="L57" s="46">
        <f t="shared" si="27"/>
        <v>0</v>
      </c>
      <c r="M57" s="45">
        <v>1</v>
      </c>
      <c r="N57" s="71">
        <f t="shared" si="28"/>
        <v>279.57</v>
      </c>
    </row>
    <row r="58" s="2" customFormat="1" spans="2:15">
      <c r="B58" s="40" t="str">
        <f>Planilha!A54</f>
        <v>1.7</v>
      </c>
      <c r="C58" s="36" t="str">
        <f>VLOOKUP($B58,Planilha!$A$11:$I$193,4,FALSE)</f>
        <v>Revestimento de parede</v>
      </c>
      <c r="D58" s="37">
        <f>SUM(D59:D62)</f>
        <v>33530.88</v>
      </c>
      <c r="E58" s="41"/>
      <c r="F58" s="42"/>
      <c r="G58" s="41"/>
      <c r="H58" s="42"/>
      <c r="I58" s="41"/>
      <c r="J58" s="42"/>
      <c r="K58" s="41"/>
      <c r="L58" s="42"/>
      <c r="M58" s="41"/>
      <c r="N58" s="70"/>
      <c r="O58"/>
    </row>
    <row r="59" ht="30" spans="2:14">
      <c r="B59" s="40" t="str">
        <f>Planilha!A55</f>
        <v>1.7.1</v>
      </c>
      <c r="C59" s="43" t="str">
        <f>VLOOKUP($B59,Planilha!$A$11:$I$193,4,FALSE)</f>
        <v>Chapisco de argamassa de cimento e areia média ou grossa lavada, no traço 1:3, espessura 5 mm</v>
      </c>
      <c r="D59" s="44">
        <f>VLOOKUP($B59,Planilha!$A$11:$I$193,9,FALSE)</f>
        <v>1654.39</v>
      </c>
      <c r="E59" s="47"/>
      <c r="F59" s="46">
        <f t="shared" ref="F59:F64" si="29">E59*$D59</f>
        <v>0</v>
      </c>
      <c r="G59" s="45"/>
      <c r="H59" s="46">
        <f t="shared" si="25"/>
        <v>0</v>
      </c>
      <c r="I59" s="45">
        <v>1</v>
      </c>
      <c r="J59" s="46">
        <f t="shared" si="26"/>
        <v>1654.39</v>
      </c>
      <c r="K59" s="47"/>
      <c r="L59" s="46">
        <f t="shared" si="27"/>
        <v>0</v>
      </c>
      <c r="M59" s="47"/>
      <c r="N59" s="71">
        <f t="shared" si="28"/>
        <v>0</v>
      </c>
    </row>
    <row r="60" ht="45" spans="2:14">
      <c r="B60" s="40" t="str">
        <f>Planilha!A56</f>
        <v>1.7.2</v>
      </c>
      <c r="C60" s="43" t="str">
        <f>VLOOKUP($B60,Planilha!$A$11:$I$193,4,FALSE)</f>
        <v>Azulejo branco 15 x 15 cm, juntas a prumo, assentado com argamassa de cimento colante, inclusive rejuntamento com cimento branco, marcas de referência Eliane, Cecrisa ou Portobello</v>
      </c>
      <c r="D60" s="44">
        <f>VLOOKUP($B60,Planilha!$A$11:$I$193,9,FALSE)</f>
        <v>22421.02</v>
      </c>
      <c r="E60" s="47"/>
      <c r="F60" s="46">
        <f t="shared" si="29"/>
        <v>0</v>
      </c>
      <c r="G60" s="45"/>
      <c r="H60" s="46">
        <f t="shared" si="25"/>
        <v>0</v>
      </c>
      <c r="I60" s="45">
        <v>0.3</v>
      </c>
      <c r="J60" s="46">
        <f t="shared" si="26"/>
        <v>6726.306</v>
      </c>
      <c r="K60" s="45">
        <v>0.7</v>
      </c>
      <c r="L60" s="46">
        <f t="shared" si="27"/>
        <v>15694.714</v>
      </c>
      <c r="M60" s="47"/>
      <c r="N60" s="71">
        <f t="shared" si="28"/>
        <v>0</v>
      </c>
    </row>
    <row r="61" ht="30" spans="2:14">
      <c r="B61" s="40" t="str">
        <f>Planilha!A57</f>
        <v>1.7.3</v>
      </c>
      <c r="C61" s="43" t="str">
        <f>VLOOKUP($B61,Planilha!$A$11:$I$193,4,FALSE)</f>
        <v>Emboço de argamassa de cimento, cal hidratada CH1 e areia média ou grossa lavada no traço 1:0.5:6, espessura 20 mm</v>
      </c>
      <c r="D61" s="44">
        <f>VLOOKUP($B61,Planilha!$A$11:$I$193,9,FALSE)</f>
        <v>6080.23</v>
      </c>
      <c r="E61" s="47"/>
      <c r="F61" s="46">
        <f t="shared" si="29"/>
        <v>0</v>
      </c>
      <c r="G61" s="45"/>
      <c r="H61" s="46">
        <f t="shared" si="25"/>
        <v>0</v>
      </c>
      <c r="I61" s="45">
        <v>1</v>
      </c>
      <c r="J61" s="46">
        <f t="shared" si="26"/>
        <v>6080.23</v>
      </c>
      <c r="K61" s="47"/>
      <c r="L61" s="46">
        <f t="shared" si="27"/>
        <v>0</v>
      </c>
      <c r="M61" s="47"/>
      <c r="N61" s="71">
        <f t="shared" si="28"/>
        <v>0</v>
      </c>
    </row>
    <row r="62" ht="30" spans="2:14">
      <c r="B62" s="40" t="str">
        <f>Planilha!A58</f>
        <v>1.7.4</v>
      </c>
      <c r="C62" s="43" t="str">
        <f>VLOOKUP($B62,Planilha!$A$11:$I$193,4,FALSE)</f>
        <v>Reboco tipo paulista de argamassa de cimento, cal hidratada CH1 e areia média ou grossa lavada no traço 1:0.5:6, espessura 25 mm</v>
      </c>
      <c r="D62" s="44">
        <f>VLOOKUP($B62,Planilha!$A$11:$I$193,9,FALSE)</f>
        <v>3375.24</v>
      </c>
      <c r="E62" s="47"/>
      <c r="F62" s="46">
        <f t="shared" si="29"/>
        <v>0</v>
      </c>
      <c r="G62" s="45"/>
      <c r="H62" s="46">
        <f t="shared" si="25"/>
        <v>0</v>
      </c>
      <c r="I62" s="45">
        <v>1</v>
      </c>
      <c r="J62" s="46">
        <f t="shared" si="26"/>
        <v>3375.24</v>
      </c>
      <c r="K62" s="47"/>
      <c r="L62" s="46">
        <f t="shared" si="27"/>
        <v>0</v>
      </c>
      <c r="M62" s="47"/>
      <c r="N62" s="71">
        <f t="shared" si="28"/>
        <v>0</v>
      </c>
    </row>
    <row r="63" s="2" customFormat="1" spans="2:15">
      <c r="B63" s="40" t="str">
        <f>Planilha!A59</f>
        <v>1.8</v>
      </c>
      <c r="C63" s="36" t="str">
        <f>VLOOKUP($B63,Planilha!$A$11:$I$193,4,FALSE)</f>
        <v>Movimento de terra</v>
      </c>
      <c r="D63" s="37">
        <f>SUM(D64)</f>
        <v>832.53</v>
      </c>
      <c r="E63" s="41"/>
      <c r="F63" s="42"/>
      <c r="G63" s="41"/>
      <c r="H63" s="42"/>
      <c r="I63" s="41"/>
      <c r="J63" s="42"/>
      <c r="K63" s="41"/>
      <c r="L63" s="42"/>
      <c r="M63" s="41"/>
      <c r="N63" s="70"/>
      <c r="O63"/>
    </row>
    <row r="64" ht="45" spans="2:14">
      <c r="B64" s="40" t="str">
        <f>Planilha!A60</f>
        <v>1.8.1</v>
      </c>
      <c r="C64" s="43" t="s">
        <v>161</v>
      </c>
      <c r="D64" s="44">
        <f>VLOOKUP($B64,Planilha!$A$11:$I$193,9,FALSE)</f>
        <v>832.53</v>
      </c>
      <c r="E64" s="45"/>
      <c r="F64" s="46">
        <f t="shared" ref="F64:F69" si="30">E64*$D64</f>
        <v>0</v>
      </c>
      <c r="G64" s="45">
        <v>1</v>
      </c>
      <c r="H64" s="46">
        <f t="shared" ref="H64:H69" si="31">G64*$D64</f>
        <v>832.53</v>
      </c>
      <c r="I64" s="47"/>
      <c r="J64" s="46">
        <f t="shared" ref="J64:J69" si="32">I64*$D64</f>
        <v>0</v>
      </c>
      <c r="K64" s="47"/>
      <c r="L64" s="46">
        <f t="shared" ref="L64:L69" si="33">K64*$D64</f>
        <v>0</v>
      </c>
      <c r="M64" s="47"/>
      <c r="N64" s="71">
        <f t="shared" ref="N64:N69" si="34">M64*$D64</f>
        <v>0</v>
      </c>
    </row>
    <row r="65" s="2" customFormat="1" spans="2:15">
      <c r="B65" s="40" t="str">
        <f>Planilha!A61</f>
        <v>1.9</v>
      </c>
      <c r="C65" s="36" t="s">
        <v>163</v>
      </c>
      <c r="D65" s="37">
        <f>SUM(D66:D69)</f>
        <v>33959.95</v>
      </c>
      <c r="E65" s="41"/>
      <c r="F65" s="42"/>
      <c r="G65" s="41"/>
      <c r="H65" s="42"/>
      <c r="I65" s="41"/>
      <c r="J65" s="42"/>
      <c r="K65" s="41"/>
      <c r="L65" s="42"/>
      <c r="M65" s="41"/>
      <c r="N65" s="70"/>
      <c r="O65"/>
    </row>
    <row r="66" spans="2:14">
      <c r="B66" s="40" t="str">
        <f>Planilha!A62</f>
        <v>1.9.1</v>
      </c>
      <c r="C66" s="43" t="str">
        <f>VLOOKUP($B66,Planilha!$A$11:$I$193,4,FALSE)</f>
        <v>Lastro regularizado de concreto não estrutural, espessura de 8cm</v>
      </c>
      <c r="D66" s="44">
        <f>VLOOKUP($B66,Planilha!$A$11:$I$193,9,FALSE)</f>
        <v>4469.33</v>
      </c>
      <c r="E66" s="45"/>
      <c r="F66" s="46">
        <f t="shared" si="30"/>
        <v>0</v>
      </c>
      <c r="G66" s="45"/>
      <c r="H66" s="46">
        <f t="shared" si="31"/>
        <v>0</v>
      </c>
      <c r="I66" s="45">
        <v>1</v>
      </c>
      <c r="J66" s="46">
        <f t="shared" si="32"/>
        <v>4469.33</v>
      </c>
      <c r="K66" s="47"/>
      <c r="L66" s="46">
        <f t="shared" si="33"/>
        <v>0</v>
      </c>
      <c r="M66" s="47"/>
      <c r="N66" s="71">
        <f t="shared" si="34"/>
        <v>0</v>
      </c>
    </row>
    <row r="67" ht="45" spans="2:14">
      <c r="B67" s="40" t="str">
        <f>Planilha!A63</f>
        <v>1.9.2</v>
      </c>
      <c r="C67" s="43" t="str">
        <f>VLOOKUP($B67,Planilha!$A$11:$I$193,4,FALSE)</f>
        <v>Piso cimentado liso com 1.5cm de espessura, de argamassa de cimento e areia
 no traço 1:3 e juntas plásticas em quadrados de 1m</v>
      </c>
      <c r="D67" s="44">
        <f>VLOOKUP($B67,Planilha!$A$11:$I$193,9,FALSE)</f>
        <v>4749.06</v>
      </c>
      <c r="E67" s="45">
        <v>0</v>
      </c>
      <c r="F67" s="46">
        <f t="shared" si="30"/>
        <v>0</v>
      </c>
      <c r="G67" s="45"/>
      <c r="H67" s="46">
        <f t="shared" si="31"/>
        <v>0</v>
      </c>
      <c r="I67" s="45">
        <v>1</v>
      </c>
      <c r="J67" s="46">
        <f t="shared" si="32"/>
        <v>4749.06</v>
      </c>
      <c r="K67" s="47"/>
      <c r="L67" s="46">
        <f t="shared" si="33"/>
        <v>0</v>
      </c>
      <c r="M67" s="47"/>
      <c r="N67" s="71">
        <f t="shared" si="34"/>
        <v>0</v>
      </c>
    </row>
    <row r="68" ht="30" spans="2:14">
      <c r="B68" s="40" t="str">
        <f>Planilha!A64</f>
        <v>1.9.3</v>
      </c>
      <c r="C68" s="43" t="str">
        <f>VLOOKUP($B68,Planilha!$A$11:$I$193,4,FALSE)</f>
        <v>Regularização de base p/ revestimento cerâmico, com argamassa de cimento e areia no traço 1:5, espessura 3cm</v>
      </c>
      <c r="D68" s="44">
        <f>VLOOKUP($B68,Planilha!$A$11:$I$193,9,FALSE)</f>
        <v>5570.1</v>
      </c>
      <c r="E68" s="47"/>
      <c r="F68" s="46">
        <f t="shared" si="30"/>
        <v>0</v>
      </c>
      <c r="G68" s="45"/>
      <c r="H68" s="46">
        <f t="shared" si="31"/>
        <v>0</v>
      </c>
      <c r="I68" s="45">
        <v>1</v>
      </c>
      <c r="J68" s="46">
        <f t="shared" si="32"/>
        <v>5570.1</v>
      </c>
      <c r="K68" s="45"/>
      <c r="L68" s="46">
        <f t="shared" si="33"/>
        <v>0</v>
      </c>
      <c r="M68" s="47"/>
      <c r="N68" s="71">
        <f t="shared" si="34"/>
        <v>0</v>
      </c>
    </row>
    <row r="69" ht="45" spans="2:14">
      <c r="B69" s="40" t="str">
        <f>Planilha!A65</f>
        <v>1.9.4</v>
      </c>
      <c r="C69" s="43" t="str">
        <f>VLOOKUP($B69,Planilha!$A$11:$I$193,4,FALSE)</f>
        <v>Piso cerâmico 45x45cm, PEI 5, Cargo Plus Gray, marcas de referência Eliane, Cecrisa ou Portobello, assentado com argamassa de cimento colante, inclusive rejuntamento</v>
      </c>
      <c r="D69" s="44">
        <f>VLOOKUP($B69,Planilha!$A$11:$I$193,9,FALSE)</f>
        <v>19171.46</v>
      </c>
      <c r="E69" s="47"/>
      <c r="F69" s="46">
        <f t="shared" si="30"/>
        <v>0</v>
      </c>
      <c r="G69" s="47"/>
      <c r="H69" s="46">
        <f t="shared" si="31"/>
        <v>0</v>
      </c>
      <c r="I69" s="45">
        <v>0.6</v>
      </c>
      <c r="J69" s="46">
        <f t="shared" si="32"/>
        <v>11502.876</v>
      </c>
      <c r="K69" s="45">
        <v>0.4</v>
      </c>
      <c r="L69" s="46">
        <f t="shared" si="33"/>
        <v>7668.584</v>
      </c>
      <c r="M69" s="45"/>
      <c r="N69" s="71">
        <f t="shared" si="34"/>
        <v>0</v>
      </c>
    </row>
    <row r="70" s="2" customFormat="1" spans="2:15">
      <c r="B70" s="40" t="str">
        <f>Planilha!A66</f>
        <v>1.10</v>
      </c>
      <c r="C70" s="36" t="str">
        <f>VLOOKUP($B70,Planilha!$A$11:$I$193,4,FALSE)</f>
        <v>Instalações Elétricas</v>
      </c>
      <c r="D70" s="37">
        <f>SUM(D71:D89)</f>
        <v>22119.85</v>
      </c>
      <c r="E70" s="41"/>
      <c r="F70" s="42"/>
      <c r="G70" s="41"/>
      <c r="H70" s="42"/>
      <c r="I70" s="41"/>
      <c r="J70" s="42"/>
      <c r="K70" s="41"/>
      <c r="L70" s="42"/>
      <c r="M70" s="41"/>
      <c r="N70" s="70"/>
      <c r="O70"/>
    </row>
    <row r="71" ht="30" spans="2:14">
      <c r="B71" s="40" t="str">
        <f>Planilha!A67</f>
        <v>1.10.1</v>
      </c>
      <c r="C71" s="43" t="str">
        <f>VLOOKUP($B71,Planilha!$A$11:$I$193,4,FALSE)</f>
        <v>Abertura e fechamento de rasgos em alvenaria, para passagem de eletrodutos diâm. 1/2" a 1"</v>
      </c>
      <c r="D71" s="44">
        <f>VLOOKUP($B71,Planilha!$A$11:$I$193,9,FALSE)</f>
        <v>414.19</v>
      </c>
      <c r="E71" s="47"/>
      <c r="F71" s="46">
        <f>E71*$D71</f>
        <v>0</v>
      </c>
      <c r="G71" s="45">
        <v>1</v>
      </c>
      <c r="H71" s="46">
        <f t="shared" ref="H71:H89" si="35">G71*$D71</f>
        <v>414.19</v>
      </c>
      <c r="I71" s="47"/>
      <c r="J71" s="46">
        <f t="shared" ref="J71:J89" si="36">I71*$D71</f>
        <v>0</v>
      </c>
      <c r="K71" s="47"/>
      <c r="L71" s="46">
        <f t="shared" ref="L71:L89" si="37">K71*$D71</f>
        <v>0</v>
      </c>
      <c r="M71" s="47"/>
      <c r="N71" s="71">
        <f t="shared" ref="N71:N89" si="38">M71*$D71</f>
        <v>0</v>
      </c>
    </row>
    <row r="72" spans="2:14">
      <c r="B72" s="40" t="str">
        <f>Planilha!A68</f>
        <v>1.10.2</v>
      </c>
      <c r="C72" s="43" t="str">
        <f>VLOOKUP($B72,Planilha!$A$11:$I$193,4,FALSE)</f>
        <v>Eletroduto flexível corrugado 3/4" , marca de referência TIGRE</v>
      </c>
      <c r="D72" s="44">
        <f>VLOOKUP($B72,Planilha!$A$11:$I$193,9,FALSE)</f>
        <v>162.9</v>
      </c>
      <c r="E72" s="47"/>
      <c r="F72" s="46">
        <f t="shared" ref="F72:F89" si="39">E72*$D72</f>
        <v>0</v>
      </c>
      <c r="G72" s="45">
        <v>1</v>
      </c>
      <c r="H72" s="46">
        <f t="shared" si="35"/>
        <v>162.9</v>
      </c>
      <c r="I72" s="47"/>
      <c r="J72" s="46">
        <f t="shared" si="36"/>
        <v>0</v>
      </c>
      <c r="K72" s="47"/>
      <c r="L72" s="46">
        <f t="shared" si="37"/>
        <v>0</v>
      </c>
      <c r="M72" s="47"/>
      <c r="N72" s="71">
        <f t="shared" si="38"/>
        <v>0</v>
      </c>
    </row>
    <row r="73" ht="30" spans="2:14">
      <c r="B73" s="40" t="str">
        <f>Planilha!A69</f>
        <v>1.10.3</v>
      </c>
      <c r="C73" s="43" t="str">
        <f>VLOOKUP($B73,Planilha!$A$11:$I$193,4,FALSE)</f>
        <v>Quadro de distribuição de energia, de embutir, com 6 divisões modulares, com barramento trifásico 100A</v>
      </c>
      <c r="D73" s="44">
        <f>VLOOKUP($B73,Planilha!$A$11:$I$193,9,FALSE)</f>
        <v>248.96</v>
      </c>
      <c r="E73" s="47"/>
      <c r="F73" s="46">
        <f t="shared" si="39"/>
        <v>0</v>
      </c>
      <c r="G73" s="47"/>
      <c r="H73" s="46">
        <f t="shared" si="35"/>
        <v>0</v>
      </c>
      <c r="I73" s="45">
        <v>1</v>
      </c>
      <c r="J73" s="46">
        <f t="shared" si="36"/>
        <v>248.96</v>
      </c>
      <c r="K73" s="47"/>
      <c r="L73" s="46">
        <f t="shared" si="37"/>
        <v>0</v>
      </c>
      <c r="M73" s="47"/>
      <c r="N73" s="71">
        <f t="shared" si="38"/>
        <v>0</v>
      </c>
    </row>
    <row r="74" ht="30" spans="2:14">
      <c r="B74" s="40" t="str">
        <f>Planilha!A70</f>
        <v>1.10.4</v>
      </c>
      <c r="C74" s="43" t="str">
        <f>VLOOKUP($B74,Planilha!$A$11:$I$193,4,FALSE)</f>
        <v>Fio de cobre termoplástico, com isolamento para 750V, seção de 2.5 mm2</v>
      </c>
      <c r="D74" s="44">
        <f>VLOOKUP($B74,Planilha!$A$11:$I$193,9,FALSE)</f>
        <v>395.1</v>
      </c>
      <c r="E74" s="47"/>
      <c r="F74" s="46">
        <f t="shared" si="39"/>
        <v>0</v>
      </c>
      <c r="G74" s="45">
        <v>0.8</v>
      </c>
      <c r="H74" s="46">
        <f t="shared" si="35"/>
        <v>316.08</v>
      </c>
      <c r="I74" s="45">
        <v>0.2</v>
      </c>
      <c r="J74" s="46">
        <f t="shared" si="36"/>
        <v>79.02</v>
      </c>
      <c r="K74" s="47"/>
      <c r="L74" s="46">
        <f t="shared" si="37"/>
        <v>0</v>
      </c>
      <c r="M74" s="47"/>
      <c r="N74" s="71">
        <f t="shared" si="38"/>
        <v>0</v>
      </c>
    </row>
    <row r="75" ht="60" spans="2:14">
      <c r="B75" s="40" t="str">
        <f>Planilha!A71</f>
        <v>1.10.5</v>
      </c>
      <c r="C75" s="43" t="str">
        <f>VLOOKUP($B75,Planilha!$A$11:$I$193,4,FALSE)</f>
        <v>Luminaria sobrepor compl., corpo ch. aço pintada branca, refletor aletas parabólicas alum.alta pureza e refletância inclusive 2 lâmpadas LED T8 20W temp. de cor 5000k bivolt c/ 1,20m - Ref. CS232AL-N - AMES, 664 - LUMAVI OU EQUIVALENTE</v>
      </c>
      <c r="D75" s="44">
        <f>VLOOKUP($B75,Planilha!$A$11:$I$193,9,FALSE)</f>
        <v>6299.52</v>
      </c>
      <c r="E75" s="47"/>
      <c r="F75" s="46">
        <f t="shared" si="39"/>
        <v>0</v>
      </c>
      <c r="G75" s="47"/>
      <c r="H75" s="46">
        <f t="shared" si="35"/>
        <v>0</v>
      </c>
      <c r="I75" s="47"/>
      <c r="J75" s="46">
        <f t="shared" si="36"/>
        <v>0</v>
      </c>
      <c r="K75" s="45">
        <v>1</v>
      </c>
      <c r="L75" s="46">
        <f t="shared" si="37"/>
        <v>6299.52</v>
      </c>
      <c r="M75" s="45"/>
      <c r="N75" s="71">
        <f t="shared" si="38"/>
        <v>0</v>
      </c>
    </row>
    <row r="76" ht="45" spans="2:14">
      <c r="B76" s="40" t="str">
        <f>Planilha!A72</f>
        <v>1.10.6</v>
      </c>
      <c r="C76" s="43" t="str">
        <f>VLOOKUP($B76,Planilha!$A$11:$I$193,4,FALSE)</f>
        <v>Luminária para uma lâmpada fluorescente 20W, completa, c/ reator simples-127V partida rápida alto fator de potência, soquete antivibratório e lâmpada fluorescente 20W-127V</v>
      </c>
      <c r="D76" s="44">
        <f>VLOOKUP($B76,Planilha!$A$11:$I$193,9,FALSE)</f>
        <v>626.4</v>
      </c>
      <c r="E76" s="47"/>
      <c r="F76" s="46">
        <f t="shared" si="39"/>
        <v>0</v>
      </c>
      <c r="G76" s="47"/>
      <c r="H76" s="46">
        <f t="shared" si="35"/>
        <v>0</v>
      </c>
      <c r="I76" s="47"/>
      <c r="J76" s="46">
        <f t="shared" si="36"/>
        <v>0</v>
      </c>
      <c r="K76" s="45">
        <v>1</v>
      </c>
      <c r="L76" s="46">
        <f t="shared" si="37"/>
        <v>626.4</v>
      </c>
      <c r="M76" s="45"/>
      <c r="N76" s="71">
        <f t="shared" si="38"/>
        <v>0</v>
      </c>
    </row>
    <row r="77" ht="30" spans="2:14">
      <c r="B77" s="40" t="str">
        <f>Planilha!A73</f>
        <v>1.10.7</v>
      </c>
      <c r="C77" s="43" t="str">
        <f>VLOOKUP($B77,Planilha!$A$11:$I$193,4,FALSE)</f>
        <v>Tomada padrão brasileiro linha branca, NBR 14136 2 polos + terra 10A/250V, com placa 4x2"</v>
      </c>
      <c r="D77" s="44">
        <f>VLOOKUP($B77,Planilha!$A$11:$I$193,9,FALSE)</f>
        <v>1261.25</v>
      </c>
      <c r="E77" s="47"/>
      <c r="F77" s="46">
        <f t="shared" si="39"/>
        <v>0</v>
      </c>
      <c r="G77" s="45"/>
      <c r="H77" s="46">
        <f t="shared" si="35"/>
        <v>0</v>
      </c>
      <c r="I77" s="47"/>
      <c r="J77" s="46">
        <f t="shared" si="36"/>
        <v>0</v>
      </c>
      <c r="K77" s="45">
        <v>1</v>
      </c>
      <c r="L77" s="46">
        <f t="shared" si="37"/>
        <v>1261.25</v>
      </c>
      <c r="M77" s="45"/>
      <c r="N77" s="71">
        <f t="shared" si="38"/>
        <v>0</v>
      </c>
    </row>
    <row r="78" ht="30" spans="2:14">
      <c r="B78" s="40" t="str">
        <f>Planilha!A74</f>
        <v>1.10.8</v>
      </c>
      <c r="C78" s="43" t="str">
        <f>VLOOKUP($B78,Planilha!$A$11:$I$193,4,FALSE)</f>
        <v>Tomada padrão brasileiro linha branca, NBR 14136 2 polos + terra 20A/250V, com placa 4x2"</v>
      </c>
      <c r="D78" s="44">
        <f>VLOOKUP($B78,Planilha!$A$11:$I$193,9,FALSE)</f>
        <v>59.29</v>
      </c>
      <c r="E78" s="47"/>
      <c r="F78" s="46">
        <f t="shared" si="39"/>
        <v>0</v>
      </c>
      <c r="G78" s="47"/>
      <c r="H78" s="46">
        <f t="shared" si="35"/>
        <v>0</v>
      </c>
      <c r="I78" s="47"/>
      <c r="J78" s="46">
        <f t="shared" si="36"/>
        <v>0</v>
      </c>
      <c r="K78" s="45">
        <v>1</v>
      </c>
      <c r="L78" s="46">
        <f t="shared" si="37"/>
        <v>59.29</v>
      </c>
      <c r="M78" s="45"/>
      <c r="N78" s="71">
        <f t="shared" si="38"/>
        <v>0</v>
      </c>
    </row>
    <row r="79" spans="2:14">
      <c r="B79" s="40" t="str">
        <f>Planilha!A75</f>
        <v>1.10.9</v>
      </c>
      <c r="C79" s="43" t="str">
        <f>VLOOKUP($B79,Planilha!$A$11:$I$193,4,FALSE)</f>
        <v>Interruptor de uma tecla simples 10A/250V, com placa 4x2"</v>
      </c>
      <c r="D79" s="44">
        <f>VLOOKUP($B79,Planilha!$A$11:$I$193,9,FALSE)</f>
        <v>312.83</v>
      </c>
      <c r="E79" s="47"/>
      <c r="F79" s="46">
        <f t="shared" si="39"/>
        <v>0</v>
      </c>
      <c r="G79" s="47"/>
      <c r="H79" s="46">
        <f t="shared" si="35"/>
        <v>0</v>
      </c>
      <c r="I79" s="47"/>
      <c r="J79" s="46">
        <f t="shared" si="36"/>
        <v>0</v>
      </c>
      <c r="K79" s="45">
        <v>1</v>
      </c>
      <c r="L79" s="46">
        <f t="shared" si="37"/>
        <v>312.83</v>
      </c>
      <c r="M79" s="45"/>
      <c r="N79" s="71">
        <f t="shared" si="38"/>
        <v>0</v>
      </c>
    </row>
    <row r="80" spans="2:14">
      <c r="B80" s="40" t="str">
        <f>Planilha!A76</f>
        <v>1.10.10</v>
      </c>
      <c r="C80" s="43" t="str">
        <f>VLOOKUP($B80,Planilha!$A$11:$I$193,4,FALSE)</f>
        <v>Interruptor de duas teclas simples 10A/250V, com placa 4x2"</v>
      </c>
      <c r="D80" s="44">
        <f>VLOOKUP($B80,Planilha!$A$11:$I$193,9,FALSE)</f>
        <v>457.32</v>
      </c>
      <c r="E80" s="47"/>
      <c r="F80" s="46">
        <f t="shared" si="39"/>
        <v>0</v>
      </c>
      <c r="G80" s="47"/>
      <c r="H80" s="46">
        <f t="shared" si="35"/>
        <v>0</v>
      </c>
      <c r="I80" s="47"/>
      <c r="J80" s="46">
        <f t="shared" si="36"/>
        <v>0</v>
      </c>
      <c r="K80" s="45">
        <v>1</v>
      </c>
      <c r="L80" s="46">
        <f t="shared" si="37"/>
        <v>457.32</v>
      </c>
      <c r="M80" s="45"/>
      <c r="N80" s="71">
        <f t="shared" si="38"/>
        <v>0</v>
      </c>
    </row>
    <row r="81" spans="2:14">
      <c r="B81" s="40" t="str">
        <f>Planilha!A77</f>
        <v>1.10.11</v>
      </c>
      <c r="C81" s="43" t="str">
        <f>VLOOKUP($B81,Planilha!$A$11:$I$193,4,FALSE)</f>
        <v>Espelho para caixa estampada 4 x 2"</v>
      </c>
      <c r="D81" s="44">
        <f>VLOOKUP($B81,Planilha!$A$11:$I$193,9,FALSE)</f>
        <v>21.66</v>
      </c>
      <c r="E81" s="47"/>
      <c r="F81" s="46">
        <f t="shared" si="39"/>
        <v>0</v>
      </c>
      <c r="G81" s="47"/>
      <c r="H81" s="46">
        <f t="shared" si="35"/>
        <v>0</v>
      </c>
      <c r="I81" s="47"/>
      <c r="J81" s="46">
        <f t="shared" si="36"/>
        <v>0</v>
      </c>
      <c r="K81" s="45">
        <v>1</v>
      </c>
      <c r="L81" s="46">
        <f t="shared" si="37"/>
        <v>21.66</v>
      </c>
      <c r="M81" s="45"/>
      <c r="N81" s="71">
        <f t="shared" si="38"/>
        <v>0</v>
      </c>
    </row>
    <row r="82" ht="45" spans="2:14">
      <c r="B82" s="40" t="str">
        <f>Planilha!A78</f>
        <v>1.10.12</v>
      </c>
      <c r="C82" s="43" t="str">
        <f>VLOOKUP($B82,Planilha!$A$11:$I$193,4,FALSE)</f>
        <v>Ventilador de teto base madeira sem alojamento para luminária, ref. Tron ou equivalente, com comando de interruptor simples, sem dimer para regulagem de velocidade</v>
      </c>
      <c r="D82" s="44">
        <f>VLOOKUP($B82,Planilha!$A$11:$I$193,9,FALSE)</f>
        <v>2248.86</v>
      </c>
      <c r="E82" s="47"/>
      <c r="F82" s="46">
        <f t="shared" si="39"/>
        <v>0</v>
      </c>
      <c r="G82" s="47"/>
      <c r="H82" s="46">
        <f t="shared" si="35"/>
        <v>0</v>
      </c>
      <c r="I82" s="47"/>
      <c r="J82" s="46">
        <f t="shared" si="36"/>
        <v>0</v>
      </c>
      <c r="K82" s="45">
        <v>1</v>
      </c>
      <c r="L82" s="46">
        <f t="shared" si="37"/>
        <v>2248.86</v>
      </c>
      <c r="M82" s="45"/>
      <c r="N82" s="71">
        <f t="shared" si="38"/>
        <v>0</v>
      </c>
    </row>
    <row r="83" ht="45" spans="2:14">
      <c r="B83" s="40" t="str">
        <f>Planilha!A79</f>
        <v>1.10.13</v>
      </c>
      <c r="C83" s="43" t="str">
        <f>VLOOKUP($B83,Planilha!$A$11:$I$193,4,FALSE)</f>
        <v>Ponto padrão de luz no teto - considerando eletroduto PVC rígido de 3/4" inclusive conexões (4.5m), fio isolado PVC de 2.5mm2 (16.2m) e caixa PVC 4x4" (1 und)</v>
      </c>
      <c r="D83" s="44">
        <f>VLOOKUP($B83,Planilha!$A$11:$I$193,9,FALSE)</f>
        <v>1052.92</v>
      </c>
      <c r="E83" s="47"/>
      <c r="F83" s="46">
        <f t="shared" si="39"/>
        <v>0</v>
      </c>
      <c r="G83" s="45"/>
      <c r="H83" s="46">
        <f t="shared" si="35"/>
        <v>0</v>
      </c>
      <c r="I83" s="45">
        <v>1</v>
      </c>
      <c r="J83" s="46">
        <f t="shared" si="36"/>
        <v>1052.92</v>
      </c>
      <c r="K83" s="45"/>
      <c r="L83" s="46">
        <f t="shared" si="37"/>
        <v>0</v>
      </c>
      <c r="M83" s="45"/>
      <c r="N83" s="71">
        <f t="shared" si="38"/>
        <v>0</v>
      </c>
    </row>
    <row r="84" ht="45" spans="2:14">
      <c r="B84" s="40" t="str">
        <f>Planilha!A80</f>
        <v>1.10.14</v>
      </c>
      <c r="C84" s="43" t="s">
        <v>201</v>
      </c>
      <c r="D84" s="44">
        <f>VLOOKUP($B84,Planilha!$A$11:$I$193,9,FALSE)</f>
        <v>3487.25</v>
      </c>
      <c r="E84" s="47"/>
      <c r="F84" s="46">
        <f t="shared" si="39"/>
        <v>0</v>
      </c>
      <c r="G84" s="45"/>
      <c r="H84" s="46">
        <f t="shared" si="35"/>
        <v>0</v>
      </c>
      <c r="I84" s="45">
        <v>1</v>
      </c>
      <c r="J84" s="46">
        <f t="shared" si="36"/>
        <v>3487.25</v>
      </c>
      <c r="K84" s="45"/>
      <c r="L84" s="46">
        <f t="shared" si="37"/>
        <v>0</v>
      </c>
      <c r="M84" s="45"/>
      <c r="N84" s="71">
        <f t="shared" si="38"/>
        <v>0</v>
      </c>
    </row>
    <row r="85" ht="45" spans="2:14">
      <c r="B85" s="40" t="str">
        <f>Planilha!A81</f>
        <v>1.10.15</v>
      </c>
      <c r="C85" s="43" t="str">
        <f>VLOOKUP($B85,Planilha!$A$11:$I$193,4,FALSE)</f>
        <v>Ponto padrão de tomada para chuveiro elétrico - considerando eletroduto PVC rígido de 3/4" inclusive conexões (9.0m), fio isolado PVC de 6.0mm2 (32.5m) e caixa PVC 4x2" (1 und)</v>
      </c>
      <c r="D85" s="44">
        <f>VLOOKUP($B85,Planilha!$A$11:$I$193,9,FALSE)</f>
        <v>718.79</v>
      </c>
      <c r="E85" s="47"/>
      <c r="F85" s="46">
        <f t="shared" si="39"/>
        <v>0</v>
      </c>
      <c r="G85" s="45"/>
      <c r="H85" s="46">
        <f t="shared" si="35"/>
        <v>0</v>
      </c>
      <c r="I85" s="45">
        <v>1</v>
      </c>
      <c r="J85" s="46">
        <f t="shared" si="36"/>
        <v>718.79</v>
      </c>
      <c r="K85" s="45"/>
      <c r="L85" s="46">
        <f t="shared" si="37"/>
        <v>0</v>
      </c>
      <c r="M85" s="45"/>
      <c r="N85" s="71">
        <f t="shared" si="38"/>
        <v>0</v>
      </c>
    </row>
    <row r="86" ht="30" spans="2:14">
      <c r="B86" s="40" t="str">
        <f>Planilha!A82</f>
        <v>1.10.16</v>
      </c>
      <c r="C86" s="43" t="str">
        <f>VLOOKUP($B86,Planilha!$A$11:$I$193,4,FALSE)</f>
        <v>Quadro de distribuição de energia, de embutir, com 3 divisões modulares, sem barramento</v>
      </c>
      <c r="D86" s="44">
        <f>VLOOKUP($B86,Planilha!$A$11:$I$193,9,FALSE)</f>
        <v>129.44</v>
      </c>
      <c r="E86" s="47"/>
      <c r="F86" s="46">
        <f t="shared" si="39"/>
        <v>0</v>
      </c>
      <c r="G86" s="47"/>
      <c r="H86" s="46">
        <f t="shared" si="35"/>
        <v>0</v>
      </c>
      <c r="I86" s="45">
        <v>1</v>
      </c>
      <c r="J86" s="46">
        <f t="shared" si="36"/>
        <v>129.44</v>
      </c>
      <c r="K86" s="45"/>
      <c r="L86" s="46">
        <f t="shared" si="37"/>
        <v>0</v>
      </c>
      <c r="M86" s="45">
        <v>0</v>
      </c>
      <c r="N86" s="71">
        <f t="shared" si="38"/>
        <v>0</v>
      </c>
    </row>
    <row r="87" ht="30" spans="2:14">
      <c r="B87" s="40" t="str">
        <f>Planilha!A83</f>
        <v>1.10.17</v>
      </c>
      <c r="C87" s="43" t="str">
        <f>VLOOKUP($B87,Planilha!$A$11:$I$193,4,FALSE)</f>
        <v>Fio ou cabo de cobre termoplástico, com isolamento para 750V, seção de 16.0 mm2</v>
      </c>
      <c r="D87" s="44">
        <f>VLOOKUP($B87,Planilha!$A$11:$I$193,9,FALSE)</f>
        <v>4054.8</v>
      </c>
      <c r="E87" s="47"/>
      <c r="F87" s="46">
        <f t="shared" si="39"/>
        <v>0</v>
      </c>
      <c r="G87" s="45">
        <v>0.8</v>
      </c>
      <c r="H87" s="46">
        <f t="shared" si="35"/>
        <v>3243.84</v>
      </c>
      <c r="I87" s="45">
        <v>0.2</v>
      </c>
      <c r="J87" s="46">
        <f t="shared" si="36"/>
        <v>810.96</v>
      </c>
      <c r="K87" s="45"/>
      <c r="L87" s="46">
        <f t="shared" si="37"/>
        <v>0</v>
      </c>
      <c r="M87" s="45"/>
      <c r="N87" s="71">
        <f t="shared" si="38"/>
        <v>0</v>
      </c>
    </row>
    <row r="88" ht="30" spans="2:14">
      <c r="B88" s="40" t="str">
        <f>Planilha!A84</f>
        <v>1.10.18</v>
      </c>
      <c r="C88" s="43" t="str">
        <f>VLOOKUP($B88,Planilha!$A$11:$I$193,4,FALSE)</f>
        <v>Mini-Disjuntor bipolar 32 A, curva C - 5KA 220/127VCA (NBR IEC 60947-2), Ref. Siemens, GE, Schneider ou equivalente</v>
      </c>
      <c r="D88" s="44">
        <f>VLOOKUP($B88,Planilha!$A$11:$I$193,9,FALSE)</f>
        <v>76.7</v>
      </c>
      <c r="E88" s="47"/>
      <c r="F88" s="46">
        <f t="shared" si="39"/>
        <v>0</v>
      </c>
      <c r="G88" s="47"/>
      <c r="H88" s="46">
        <f t="shared" si="35"/>
        <v>0</v>
      </c>
      <c r="I88" s="45">
        <v>1</v>
      </c>
      <c r="J88" s="46">
        <f t="shared" si="36"/>
        <v>76.7</v>
      </c>
      <c r="K88" s="47"/>
      <c r="L88" s="46">
        <f t="shared" si="37"/>
        <v>0</v>
      </c>
      <c r="M88" s="47"/>
      <c r="N88" s="71">
        <f t="shared" si="38"/>
        <v>0</v>
      </c>
    </row>
    <row r="89" ht="30" spans="2:14">
      <c r="B89" s="40" t="str">
        <f>Planilha!A85</f>
        <v>1.10.19</v>
      </c>
      <c r="C89" s="43" t="str">
        <f>VLOOKUP($B89,Planilha!$A$11:$I$193,4,FALSE)</f>
        <v>Mini-Disjuntor bipolar 40 A, curva C - 5KA 220/127VCA (NBR IEC 60947-2), Ref. Siemens, GE, Schneider ou equivalente</v>
      </c>
      <c r="D89" s="44">
        <f>VLOOKUP($B89,Planilha!$A$11:$I$193,9,FALSE)</f>
        <v>91.67</v>
      </c>
      <c r="E89" s="47"/>
      <c r="F89" s="46">
        <f t="shared" si="39"/>
        <v>0</v>
      </c>
      <c r="G89" s="47"/>
      <c r="H89" s="46">
        <f t="shared" si="35"/>
        <v>0</v>
      </c>
      <c r="I89" s="45">
        <v>1</v>
      </c>
      <c r="J89" s="46">
        <f t="shared" si="36"/>
        <v>91.67</v>
      </c>
      <c r="K89" s="47"/>
      <c r="L89" s="46">
        <f t="shared" si="37"/>
        <v>0</v>
      </c>
      <c r="M89" s="47"/>
      <c r="N89" s="71">
        <f t="shared" si="38"/>
        <v>0</v>
      </c>
    </row>
    <row r="90" s="2" customFormat="1" spans="2:15">
      <c r="B90" s="40" t="str">
        <f>Planilha!A86</f>
        <v>1.11</v>
      </c>
      <c r="C90" s="36" t="str">
        <f>VLOOKUP($B90,Planilha!$A$11:$I$193,4,FALSE)</f>
        <v>Pintura</v>
      </c>
      <c r="D90" s="37">
        <f>SUM(D91:D94)</f>
        <v>23053.45</v>
      </c>
      <c r="E90" s="41"/>
      <c r="F90" s="42"/>
      <c r="G90" s="41"/>
      <c r="H90" s="42"/>
      <c r="I90" s="41"/>
      <c r="J90" s="42"/>
      <c r="K90" s="41"/>
      <c r="L90" s="42"/>
      <c r="M90" s="41"/>
      <c r="N90" s="70"/>
      <c r="O90"/>
    </row>
    <row r="91" ht="45" spans="2:14">
      <c r="B91" s="40" t="str">
        <f>Planilha!A87</f>
        <v>1.11.1</v>
      </c>
      <c r="C91" s="43" t="str">
        <f>VLOOKUP($B91,Planilha!$A$11:$I$193,4,FALSE)</f>
        <v>Pintura com tinta acrílica, marcas de referência Suvinil, Coral ou Metalatex, inclusive selador acrílico, em paredes e forros, a três demãos</v>
      </c>
      <c r="D91" s="44">
        <v>959.02</v>
      </c>
      <c r="E91" s="47"/>
      <c r="F91" s="46">
        <f>E91*$D91</f>
        <v>0</v>
      </c>
      <c r="G91" s="47"/>
      <c r="H91" s="46">
        <f t="shared" ref="H91:H94" si="40">G91*$D91</f>
        <v>0</v>
      </c>
      <c r="I91" s="45"/>
      <c r="J91" s="46">
        <f t="shared" ref="J91:J94" si="41">I91*$D91</f>
        <v>0</v>
      </c>
      <c r="K91" s="45">
        <v>1</v>
      </c>
      <c r="L91" s="46">
        <f t="shared" ref="L91:L94" si="42">K91*$D91</f>
        <v>959.02</v>
      </c>
      <c r="M91" s="45"/>
      <c r="N91" s="71">
        <f t="shared" ref="N91:N94" si="43">M91*$D91</f>
        <v>0</v>
      </c>
    </row>
    <row r="92" ht="45" spans="2:14">
      <c r="B92" s="40" t="str">
        <f>Planilha!A88</f>
        <v>1.11.2</v>
      </c>
      <c r="C92" s="43" t="str">
        <f>VLOOKUP($B92,Planilha!$A$11:$I$193,4,FALSE)</f>
        <v>Pintura com tinta acrílica, marcas de referência Suvinil, Coral e Metalatex, inclusive selador acrílico, em paredes e forros, a duas demãos</v>
      </c>
      <c r="D92" s="44">
        <f>VLOOKUP($B92,Planilha!$A$11:$I$193,9,FALSE)</f>
        <v>14883.23</v>
      </c>
      <c r="E92" s="47"/>
      <c r="F92" s="46">
        <f t="shared" ref="F92:F97" si="44">E92*$D92</f>
        <v>0</v>
      </c>
      <c r="G92" s="47"/>
      <c r="H92" s="46">
        <f t="shared" si="40"/>
        <v>0</v>
      </c>
      <c r="I92" s="45"/>
      <c r="J92" s="46">
        <f t="shared" si="41"/>
        <v>0</v>
      </c>
      <c r="K92" s="45">
        <v>1</v>
      </c>
      <c r="L92" s="46">
        <f t="shared" si="42"/>
        <v>14883.23</v>
      </c>
      <c r="M92" s="45"/>
      <c r="N92" s="71">
        <f t="shared" si="43"/>
        <v>0</v>
      </c>
    </row>
    <row r="93" ht="45" spans="2:14">
      <c r="B93" s="40" t="str">
        <f>Planilha!A89</f>
        <v>1.11.3</v>
      </c>
      <c r="C93" s="43" t="str">
        <f>VLOOKUP($B93,Planilha!$A$11:$I$193,4,FALSE)</f>
        <v>Pintura com tinta esmalte sintético, marcas de referência Suvinil, Coral ou Metalatex, a duas demãos, inclusive fundo anticorrosivo a uma demão, em metal</v>
      </c>
      <c r="D93" s="44">
        <f>VLOOKUP($B93,Planilha!$A$11:$I$193,9,FALSE)</f>
        <v>4782.85</v>
      </c>
      <c r="E93" s="47"/>
      <c r="F93" s="46">
        <f t="shared" si="44"/>
        <v>0</v>
      </c>
      <c r="G93" s="47"/>
      <c r="H93" s="46">
        <f t="shared" si="40"/>
        <v>0</v>
      </c>
      <c r="I93" s="45"/>
      <c r="J93" s="46">
        <f t="shared" si="41"/>
        <v>0</v>
      </c>
      <c r="K93" s="45">
        <v>1</v>
      </c>
      <c r="L93" s="46">
        <f t="shared" si="42"/>
        <v>4782.85</v>
      </c>
      <c r="M93" s="45"/>
      <c r="N93" s="71">
        <f t="shared" si="43"/>
        <v>0</v>
      </c>
    </row>
    <row r="94" ht="45" spans="2:14">
      <c r="B94" s="40" t="str">
        <f>Planilha!A90</f>
        <v>1.11.4</v>
      </c>
      <c r="C94" s="43" t="s">
        <v>221</v>
      </c>
      <c r="D94" s="44">
        <f>VLOOKUP($B94,Planilha!$A$11:$I$193,9,FALSE)</f>
        <v>2428.35</v>
      </c>
      <c r="E94" s="47"/>
      <c r="F94" s="46">
        <f t="shared" si="44"/>
        <v>0</v>
      </c>
      <c r="G94" s="47"/>
      <c r="H94" s="46">
        <f t="shared" si="40"/>
        <v>0</v>
      </c>
      <c r="I94" s="45"/>
      <c r="J94" s="46">
        <f t="shared" si="41"/>
        <v>0</v>
      </c>
      <c r="K94" s="45">
        <v>1</v>
      </c>
      <c r="L94" s="46">
        <f t="shared" si="42"/>
        <v>2428.35</v>
      </c>
      <c r="M94" s="45"/>
      <c r="N94" s="71">
        <f t="shared" si="43"/>
        <v>0</v>
      </c>
    </row>
    <row r="95" s="2" customFormat="1" spans="2:15">
      <c r="B95" s="40" t="str">
        <f>Planilha!A91</f>
        <v>1.12</v>
      </c>
      <c r="C95" s="36" t="str">
        <f>VLOOKUP($B95,Planilha!$A$11:$I$193,4,FALSE)</f>
        <v>Telhado</v>
      </c>
      <c r="D95" s="37">
        <f>SUM(D96,D104,D109)</f>
        <v>50915.89</v>
      </c>
      <c r="E95" s="41"/>
      <c r="F95" s="42"/>
      <c r="G95" s="41"/>
      <c r="H95" s="42"/>
      <c r="I95" s="41"/>
      <c r="J95" s="42"/>
      <c r="K95" s="41"/>
      <c r="L95" s="42"/>
      <c r="M95" s="41"/>
      <c r="N95" s="70"/>
      <c r="O95"/>
    </row>
    <row r="96" s="2" customFormat="1" spans="2:15">
      <c r="B96" s="40" t="str">
        <f>Planilha!A92</f>
        <v>1.12.1</v>
      </c>
      <c r="C96" s="36" t="str">
        <f>VLOOKUP($B96,Planilha!$A$11:$I$193,4,FALSE)</f>
        <v>Infraestutura</v>
      </c>
      <c r="D96" s="37">
        <f>SUM(D97:D103)</f>
        <v>1651.12</v>
      </c>
      <c r="E96" s="41"/>
      <c r="F96" s="42"/>
      <c r="G96" s="41"/>
      <c r="H96" s="42"/>
      <c r="I96" s="41"/>
      <c r="J96" s="42"/>
      <c r="K96" s="41"/>
      <c r="L96" s="42"/>
      <c r="M96" s="41"/>
      <c r="N96" s="70"/>
      <c r="O96"/>
    </row>
    <row r="97" ht="30" spans="2:14">
      <c r="B97" s="40" t="str">
        <f>Planilha!A93</f>
        <v>1.12.1.1</v>
      </c>
      <c r="C97" s="43" t="str">
        <f>VLOOKUP($B97,Planilha!$A$11:$I$193,4,FALSE)</f>
        <v>Escavação manual em material de 1a. categoria, até 1.50 m de profundidade</v>
      </c>
      <c r="D97" s="44">
        <f>VLOOKUP($B97,Planilha!$A$11:$I$193,9,FALSE)</f>
        <v>329.04</v>
      </c>
      <c r="E97" s="45">
        <v>1</v>
      </c>
      <c r="F97" s="46">
        <f t="shared" si="44"/>
        <v>329.04</v>
      </c>
      <c r="G97" s="47"/>
      <c r="H97" s="46">
        <f t="shared" ref="H97:H103" si="45">G97*$D97</f>
        <v>0</v>
      </c>
      <c r="I97" s="47"/>
      <c r="J97" s="46">
        <f t="shared" ref="J97:J103" si="46">I97*$D97</f>
        <v>0</v>
      </c>
      <c r="K97" s="47"/>
      <c r="L97" s="46">
        <f t="shared" ref="L97:L103" si="47">K97*$D97</f>
        <v>0</v>
      </c>
      <c r="M97" s="47"/>
      <c r="N97" s="71">
        <f t="shared" ref="N97:N103" si="48">M97*$D97</f>
        <v>0</v>
      </c>
    </row>
    <row r="98" spans="2:14">
      <c r="B98" s="40" t="str">
        <f>Planilha!A94</f>
        <v>1.12.1.2</v>
      </c>
      <c r="C98" s="43" t="str">
        <f>VLOOKUP($B98,Planilha!$A$11:$I$193,4,FALSE)</f>
        <v>Reaterro apiloado de cavas de fundação, em camadas de 20 cm</v>
      </c>
      <c r="D98" s="44">
        <f>VLOOKUP($B98,Planilha!$A$11:$I$193,9,FALSE)</f>
        <v>244.93</v>
      </c>
      <c r="E98" s="47"/>
      <c r="F98" s="46">
        <f t="shared" ref="F98:F103" si="49">E98*$D98</f>
        <v>0</v>
      </c>
      <c r="G98" s="45">
        <v>1</v>
      </c>
      <c r="H98" s="46">
        <f t="shared" si="45"/>
        <v>244.93</v>
      </c>
      <c r="I98" s="47"/>
      <c r="J98" s="46">
        <f t="shared" si="46"/>
        <v>0</v>
      </c>
      <c r="K98" s="47"/>
      <c r="L98" s="46">
        <f t="shared" si="47"/>
        <v>0</v>
      </c>
      <c r="M98" s="47"/>
      <c r="N98" s="71">
        <f t="shared" si="48"/>
        <v>0</v>
      </c>
    </row>
    <row r="99" ht="45" spans="2:14">
      <c r="B99" s="40" t="str">
        <f>Planilha!A95</f>
        <v>1.12.1.3</v>
      </c>
      <c r="C99" s="43" t="str">
        <f>VLOOKUP($B99,Planilha!$A$11:$I$193,4,FALSE)</f>
        <v>Fôrma de tábua de madeira de 2.5 x 30.0 cm para fundações, levando-se em conta a utilização 5 vezes (incluido o material, corte, montagem, escoramento e desforma)</v>
      </c>
      <c r="D99" s="44">
        <f>VLOOKUP($B99,Planilha!$A$11:$I$193,9,FALSE)</f>
        <v>173.99</v>
      </c>
      <c r="E99" s="45">
        <v>1</v>
      </c>
      <c r="F99" s="46">
        <f t="shared" si="49"/>
        <v>173.99</v>
      </c>
      <c r="G99" s="45"/>
      <c r="H99" s="46">
        <f t="shared" si="45"/>
        <v>0</v>
      </c>
      <c r="I99" s="47"/>
      <c r="J99" s="46">
        <f t="shared" si="46"/>
        <v>0</v>
      </c>
      <c r="K99" s="47"/>
      <c r="L99" s="46">
        <f t="shared" si="47"/>
        <v>0</v>
      </c>
      <c r="M99" s="47"/>
      <c r="N99" s="71">
        <f t="shared" si="48"/>
        <v>0</v>
      </c>
    </row>
    <row r="100" ht="45" spans="2:14">
      <c r="B100" s="40" t="str">
        <f>Planilha!A96</f>
        <v>1.12.1.4</v>
      </c>
      <c r="C100" s="43" t="str">
        <f>VLOOKUP($B100,Planilha!$A$11:$I$193,4,FALSE)</f>
        <v>Fornecimento, preparo e aplicação de concreto magro com consumo mínimo de cimento de 250 kg/m3 (brita 1 e 2) - (5% de perdas já incluído no custo)</v>
      </c>
      <c r="D100" s="44">
        <f>VLOOKUP($B100,Planilha!$A$11:$I$193,9,FALSE)</f>
        <v>145.82</v>
      </c>
      <c r="E100" s="45">
        <v>1</v>
      </c>
      <c r="F100" s="46">
        <f t="shared" si="49"/>
        <v>145.82</v>
      </c>
      <c r="G100" s="45"/>
      <c r="H100" s="46">
        <f t="shared" si="45"/>
        <v>0</v>
      </c>
      <c r="I100" s="47"/>
      <c r="J100" s="46">
        <f t="shared" si="46"/>
        <v>0</v>
      </c>
      <c r="K100" s="47"/>
      <c r="L100" s="46">
        <f t="shared" si="47"/>
        <v>0</v>
      </c>
      <c r="M100" s="47"/>
      <c r="N100" s="71">
        <f t="shared" si="48"/>
        <v>0</v>
      </c>
    </row>
    <row r="101" ht="30" spans="2:14">
      <c r="B101" s="40" t="str">
        <f>Planilha!A97</f>
        <v>1.12.1.5</v>
      </c>
      <c r="C101" s="43" t="str">
        <f>VLOOKUP($B101,Planilha!$A$11:$I$193,4,FALSE)</f>
        <v>Fornecimento, preparo e aplicação de concreto Fck=25 MPa (brita 1 e 2) - (5% de perdas já incluído no custo)</v>
      </c>
      <c r="D101" s="44">
        <f>VLOOKUP($B101,Planilha!$A$11:$I$193,9,FALSE)</f>
        <v>336.39</v>
      </c>
      <c r="E101" s="45">
        <v>1</v>
      </c>
      <c r="F101" s="46">
        <f t="shared" si="49"/>
        <v>336.39</v>
      </c>
      <c r="G101" s="45"/>
      <c r="H101" s="46">
        <f t="shared" si="45"/>
        <v>0</v>
      </c>
      <c r="I101" s="47"/>
      <c r="J101" s="46">
        <f t="shared" si="46"/>
        <v>0</v>
      </c>
      <c r="K101" s="47"/>
      <c r="L101" s="46">
        <f t="shared" si="47"/>
        <v>0</v>
      </c>
      <c r="M101" s="47"/>
      <c r="N101" s="71">
        <f t="shared" si="48"/>
        <v>0</v>
      </c>
    </row>
    <row r="102" ht="30" spans="2:14">
      <c r="B102" s="40" t="str">
        <f>Planilha!A98</f>
        <v>1.12.1.6</v>
      </c>
      <c r="C102" s="43" t="str">
        <f>VLOOKUP($B102,Planilha!$A$11:$I$193,4,FALSE)</f>
        <v>Fornecimento, dobragem e colocação em fôrma, de armadura CA-50 A média, diâmetro de 6.3 a 10.0 mm</v>
      </c>
      <c r="D102" s="44">
        <f>VLOOKUP($B102,Planilha!$A$11:$I$193,9,FALSE)</f>
        <v>370.16</v>
      </c>
      <c r="E102" s="45">
        <v>1</v>
      </c>
      <c r="F102" s="46">
        <f t="shared" si="49"/>
        <v>370.16</v>
      </c>
      <c r="G102" s="45"/>
      <c r="H102" s="46">
        <f t="shared" si="45"/>
        <v>0</v>
      </c>
      <c r="I102" s="47"/>
      <c r="J102" s="46">
        <f t="shared" si="46"/>
        <v>0</v>
      </c>
      <c r="K102" s="47"/>
      <c r="L102" s="46">
        <f t="shared" si="47"/>
        <v>0</v>
      </c>
      <c r="M102" s="47"/>
      <c r="N102" s="71">
        <f t="shared" si="48"/>
        <v>0</v>
      </c>
    </row>
    <row r="103" ht="30" spans="2:14">
      <c r="B103" s="40" t="str">
        <f>Planilha!A99</f>
        <v>1.12.1.7</v>
      </c>
      <c r="C103" s="43" t="str">
        <f>VLOOKUP($B103,Planilha!$A$11:$I$193,4,FALSE)</f>
        <v>Fornecimento, dobragem e colocação em fôrma, de armadura CA-60 B fina, diâmetro de 4.0 a 7.0mm</v>
      </c>
      <c r="D103" s="44">
        <f>VLOOKUP($B103,Planilha!$A$11:$I$193,9,FALSE)</f>
        <v>50.79</v>
      </c>
      <c r="E103" s="45">
        <v>1</v>
      </c>
      <c r="F103" s="46">
        <f t="shared" si="49"/>
        <v>50.79</v>
      </c>
      <c r="G103" s="45"/>
      <c r="H103" s="46">
        <f t="shared" si="45"/>
        <v>0</v>
      </c>
      <c r="I103" s="47"/>
      <c r="J103" s="46">
        <f t="shared" si="46"/>
        <v>0</v>
      </c>
      <c r="K103" s="47"/>
      <c r="L103" s="46">
        <f t="shared" si="47"/>
        <v>0</v>
      </c>
      <c r="M103" s="47"/>
      <c r="N103" s="71">
        <f t="shared" si="48"/>
        <v>0</v>
      </c>
    </row>
    <row r="104" s="2" customFormat="1" spans="2:15">
      <c r="B104" s="40" t="str">
        <f>Planilha!A100</f>
        <v>1.12.2</v>
      </c>
      <c r="C104" s="36" t="str">
        <f>VLOOKUP($B104,Planilha!$A$11:$I$193,4,FALSE)</f>
        <v>Superestrutura</v>
      </c>
      <c r="D104" s="37">
        <f>SUM(D105:D108)</f>
        <v>2455.66</v>
      </c>
      <c r="E104" s="41"/>
      <c r="F104" s="42"/>
      <c r="G104" s="41"/>
      <c r="H104" s="42"/>
      <c r="I104" s="41"/>
      <c r="J104" s="42"/>
      <c r="K104" s="41"/>
      <c r="L104" s="42"/>
      <c r="M104" s="41"/>
      <c r="N104" s="70"/>
      <c r="O104"/>
    </row>
    <row r="105" ht="30" spans="2:14">
      <c r="B105" s="40" t="str">
        <f>Planilha!A101</f>
        <v>1.12.2.1</v>
      </c>
      <c r="C105" s="43" t="str">
        <f>VLOOKUP($B105,Planilha!$A$11:$I$193,4,FALSE)</f>
        <v>Fornecimento, preparo e aplicação de concreto Fck=25 MPa (brita 1 e 2) - (5% de perdas já incluído no custo)</v>
      </c>
      <c r="D105" s="44">
        <f>VLOOKUP($B105,Planilha!$A$11:$I$193,9,FALSE)</f>
        <v>515.03</v>
      </c>
      <c r="E105" s="45"/>
      <c r="F105" s="46">
        <f t="shared" ref="F105:F110" si="50">E105*$D105</f>
        <v>0</v>
      </c>
      <c r="G105" s="45">
        <v>1</v>
      </c>
      <c r="H105" s="46">
        <f t="shared" ref="H105:H108" si="51">G105*$D105</f>
        <v>515.03</v>
      </c>
      <c r="I105" s="47"/>
      <c r="J105" s="46">
        <f t="shared" ref="J105:J108" si="52">I105*$D105</f>
        <v>0</v>
      </c>
      <c r="K105" s="47"/>
      <c r="L105" s="46">
        <f t="shared" ref="L105:L108" si="53">K105*$D105</f>
        <v>0</v>
      </c>
      <c r="M105" s="47"/>
      <c r="N105" s="71">
        <f t="shared" ref="N105:N108" si="54">M105*$D105</f>
        <v>0</v>
      </c>
    </row>
    <row r="106" ht="30" spans="2:14">
      <c r="B106" s="40" t="str">
        <f>Planilha!A102</f>
        <v>1.12.2.2</v>
      </c>
      <c r="C106" s="43" t="str">
        <f>VLOOKUP($B106,Planilha!$A$11:$I$193,4,FALSE)</f>
        <v>Fornecimento, dobragem e colocação em fôrma, de armadura CA-50 A média, diâmetro de 6.3 a 10.0 mm</v>
      </c>
      <c r="D106" s="44">
        <f>VLOOKUP($B106,Planilha!$A$11:$I$193,9,FALSE)</f>
        <v>404.69</v>
      </c>
      <c r="E106" s="45"/>
      <c r="F106" s="46">
        <f t="shared" si="50"/>
        <v>0</v>
      </c>
      <c r="G106" s="45">
        <v>1</v>
      </c>
      <c r="H106" s="46">
        <f t="shared" si="51"/>
        <v>404.69</v>
      </c>
      <c r="I106" s="47"/>
      <c r="J106" s="46">
        <f t="shared" si="52"/>
        <v>0</v>
      </c>
      <c r="K106" s="47"/>
      <c r="L106" s="46">
        <f t="shared" si="53"/>
        <v>0</v>
      </c>
      <c r="M106" s="47"/>
      <c r="N106" s="71">
        <f t="shared" si="54"/>
        <v>0</v>
      </c>
    </row>
    <row r="107" ht="60" spans="2:14">
      <c r="B107" s="40" t="str">
        <f>Planilha!A103</f>
        <v>1.12.2.3</v>
      </c>
      <c r="C107" s="43" t="str">
        <f>VLOOKUP($B107,Planilha!$A$11:$I$193,4,FALSE)</f>
        <v>Forma de chapas madeira compensada resinada, esp. 12mm, levando-se em conta a utilização 3 vezes, reforçadas com sarrafos de madeira de 2.5 x 10.0cm (incl material, corte, montagem, escoras em eucalipto e desforma)</v>
      </c>
      <c r="D107" s="44">
        <f>VLOOKUP($B107,Planilha!$A$11:$I$193,9,FALSE)</f>
        <v>1334.39</v>
      </c>
      <c r="E107" s="45"/>
      <c r="F107" s="46">
        <f t="shared" si="50"/>
        <v>0</v>
      </c>
      <c r="G107" s="45">
        <v>1</v>
      </c>
      <c r="H107" s="46">
        <f t="shared" si="51"/>
        <v>1334.39</v>
      </c>
      <c r="I107" s="47"/>
      <c r="J107" s="46">
        <f t="shared" si="52"/>
        <v>0</v>
      </c>
      <c r="K107" s="47"/>
      <c r="L107" s="46">
        <f t="shared" si="53"/>
        <v>0</v>
      </c>
      <c r="M107" s="47"/>
      <c r="N107" s="71">
        <f t="shared" si="54"/>
        <v>0</v>
      </c>
    </row>
    <row r="108" ht="30" spans="2:14">
      <c r="B108" s="40" t="str">
        <f>Planilha!A104</f>
        <v>1.12.2.4</v>
      </c>
      <c r="C108" s="43" t="str">
        <f>VLOOKUP($B108,Planilha!$A$11:$I$193,4,FALSE)</f>
        <v>Fornecimento, dobragem e colocação em fôrma, de armadura CA-60 B fina, diâmetro de 4.0 a 7.0mm</v>
      </c>
      <c r="D108" s="44">
        <f>VLOOKUP($B108,Planilha!$A$11:$I$193,9,FALSE)</f>
        <v>201.55</v>
      </c>
      <c r="E108" s="45"/>
      <c r="F108" s="46">
        <f t="shared" si="50"/>
        <v>0</v>
      </c>
      <c r="G108" s="45">
        <v>1</v>
      </c>
      <c r="H108" s="46">
        <f t="shared" si="51"/>
        <v>201.55</v>
      </c>
      <c r="I108" s="47"/>
      <c r="J108" s="46">
        <f t="shared" si="52"/>
        <v>0</v>
      </c>
      <c r="K108" s="47"/>
      <c r="L108" s="46">
        <f t="shared" si="53"/>
        <v>0</v>
      </c>
      <c r="M108" s="47"/>
      <c r="N108" s="71">
        <f t="shared" si="54"/>
        <v>0</v>
      </c>
    </row>
    <row r="109" s="2" customFormat="1" spans="2:15">
      <c r="B109" s="40" t="str">
        <f>Planilha!A105</f>
        <v>1.12.3</v>
      </c>
      <c r="C109" s="36" t="str">
        <f>VLOOKUP($B109,Planilha!$A$11:$I$193,4,FALSE)</f>
        <v>Tesoura e telhas</v>
      </c>
      <c r="D109" s="37">
        <f>SUM(D110:D112)</f>
        <v>46809.11</v>
      </c>
      <c r="E109" s="41"/>
      <c r="F109" s="42"/>
      <c r="G109" s="41"/>
      <c r="H109" s="42"/>
      <c r="I109" s="41"/>
      <c r="J109" s="42"/>
      <c r="K109" s="41"/>
      <c r="L109" s="42"/>
      <c r="M109" s="41"/>
      <c r="N109" s="70"/>
      <c r="O109"/>
    </row>
    <row r="110" ht="60" spans="2:14">
      <c r="B110" s="40" t="str">
        <f>Planilha!A106</f>
        <v>1.12.3.1</v>
      </c>
      <c r="C110" s="43" t="str">
        <f>VLOOKUP($B110,Planilha!$A$11:$I$193,4,FALSE)</f>
        <v>Estrutura de madeira de lei tipo Paraju, peroba mica, angelim pedra ou equivalente para telhado de telhas cerâmicas tipo capa e canal c/ tesouras, pilares, vigas, terças, caibros e ripas, incl. trat. c/cupinicida, exclusive telhas</v>
      </c>
      <c r="D110" s="44">
        <f>VLOOKUP($B110,Planilha!$A$11:$I$193,9,FALSE)</f>
        <v>36407.22</v>
      </c>
      <c r="E110" s="47"/>
      <c r="F110" s="46">
        <f t="shared" si="50"/>
        <v>0</v>
      </c>
      <c r="G110" s="45">
        <v>1</v>
      </c>
      <c r="H110" s="46">
        <f t="shared" ref="H110:H112" si="55">G110*$D110</f>
        <v>36407.22</v>
      </c>
      <c r="I110" s="45"/>
      <c r="J110" s="46">
        <f t="shared" ref="J110:J112" si="56">I110*$D110</f>
        <v>0</v>
      </c>
      <c r="K110" s="47"/>
      <c r="L110" s="46">
        <f t="shared" ref="L110:L112" si="57">K110*$D110</f>
        <v>0</v>
      </c>
      <c r="M110" s="47"/>
      <c r="N110" s="71">
        <f t="shared" ref="N110:N112" si="58">M110*$D110</f>
        <v>0</v>
      </c>
    </row>
    <row r="111" ht="30" spans="2:14">
      <c r="B111" s="40" t="str">
        <f>Planilha!A107</f>
        <v>1.12.3.2</v>
      </c>
      <c r="C111" s="43" t="str">
        <f>VLOOKUP($B111,Planilha!$A$11:$I$193,4,FALSE)</f>
        <v>Cobertura nova de telhas cerâmicas tipo capa e canal inclusive cumeeiras (telhas compradas na fábrica, posto obra)</v>
      </c>
      <c r="D111" s="44">
        <f>VLOOKUP($B111,Planilha!$A$11:$I$193,9,FALSE)</f>
        <v>8885.13</v>
      </c>
      <c r="E111" s="47"/>
      <c r="F111" s="46">
        <f t="shared" ref="F111:F114" si="59">E111*$D111</f>
        <v>0</v>
      </c>
      <c r="G111" s="45">
        <v>1</v>
      </c>
      <c r="H111" s="46">
        <f t="shared" si="55"/>
        <v>8885.13</v>
      </c>
      <c r="I111" s="45"/>
      <c r="J111" s="46">
        <f t="shared" si="56"/>
        <v>0</v>
      </c>
      <c r="K111" s="47"/>
      <c r="L111" s="46">
        <f t="shared" si="57"/>
        <v>0</v>
      </c>
      <c r="M111" s="47"/>
      <c r="N111" s="71">
        <f t="shared" si="58"/>
        <v>0</v>
      </c>
    </row>
    <row r="112" spans="2:14">
      <c r="B112" s="40" t="str">
        <f>Planilha!A108</f>
        <v>1.12.3.3</v>
      </c>
      <c r="C112" s="43" t="str">
        <f>VLOOKUP($B112,Planilha!$A$11:$I$193,4,FALSE)</f>
        <v>Rufo de chapa metálica nº 26 com largura de 30 cm</v>
      </c>
      <c r="D112" s="44">
        <f>VLOOKUP($B112,Planilha!$A$11:$I$193,9,FALSE)</f>
        <v>1516.76</v>
      </c>
      <c r="E112" s="47"/>
      <c r="F112" s="46">
        <f t="shared" si="59"/>
        <v>0</v>
      </c>
      <c r="G112" s="45">
        <v>1</v>
      </c>
      <c r="H112" s="46">
        <f t="shared" si="55"/>
        <v>1516.76</v>
      </c>
      <c r="I112" s="45"/>
      <c r="J112" s="46">
        <f t="shared" si="56"/>
        <v>0</v>
      </c>
      <c r="K112" s="47"/>
      <c r="L112" s="46">
        <f t="shared" si="57"/>
        <v>0</v>
      </c>
      <c r="M112" s="47"/>
      <c r="N112" s="71">
        <f t="shared" si="58"/>
        <v>0</v>
      </c>
    </row>
    <row r="113" s="2" customFormat="1" spans="2:15">
      <c r="B113" s="40" t="str">
        <f>Planilha!A109</f>
        <v>1.13</v>
      </c>
      <c r="C113" s="36" t="str">
        <f>VLOOKUP($B113,Planilha!$A$11:$I$193,4,FALSE)</f>
        <v>Tetos e forros</v>
      </c>
      <c r="D113" s="37">
        <f>SUM(D114)</f>
        <v>8665.45</v>
      </c>
      <c r="E113" s="41"/>
      <c r="F113" s="42"/>
      <c r="G113" s="41"/>
      <c r="H113" s="42"/>
      <c r="I113" s="41"/>
      <c r="J113" s="42"/>
      <c r="K113" s="41"/>
      <c r="L113" s="42"/>
      <c r="M113" s="41"/>
      <c r="N113" s="70"/>
      <c r="O113"/>
    </row>
    <row r="114" spans="2:14">
      <c r="B114" s="40" t="str">
        <f>Planilha!A110</f>
        <v>1.13.1</v>
      </c>
      <c r="C114" s="43" t="str">
        <f>VLOOKUP($B114,Planilha!$A$11:$I$193,4,FALSE)</f>
        <v>Forro PVC branco L = 20 cm, frisado, colocado</v>
      </c>
      <c r="D114" s="44">
        <f>VLOOKUP($B114,Planilha!$A$11:$I$193,9,FALSE)</f>
        <v>8665.45</v>
      </c>
      <c r="E114" s="47"/>
      <c r="F114" s="46">
        <f t="shared" si="59"/>
        <v>0</v>
      </c>
      <c r="G114" s="47"/>
      <c r="H114" s="46">
        <f t="shared" ref="H114:H119" si="60">G114*$D114</f>
        <v>0</v>
      </c>
      <c r="I114" s="45">
        <v>1</v>
      </c>
      <c r="J114" s="46">
        <f t="shared" ref="J114:J119" si="61">I114*$D114</f>
        <v>8665.45</v>
      </c>
      <c r="K114" s="45"/>
      <c r="L114" s="46">
        <f t="shared" ref="L114:L119" si="62">K114*$D114</f>
        <v>0</v>
      </c>
      <c r="M114" s="45"/>
      <c r="N114" s="71">
        <f t="shared" ref="N114:N119" si="63">M114*$D114</f>
        <v>0</v>
      </c>
    </row>
    <row r="115" s="2" customFormat="1" spans="2:15">
      <c r="B115" s="40" t="str">
        <f>Planilha!A111</f>
        <v>1.14</v>
      </c>
      <c r="C115" s="36" t="s">
        <v>275</v>
      </c>
      <c r="D115" s="37">
        <f>SUM(D116:D119)</f>
        <v>8875</v>
      </c>
      <c r="E115" s="41"/>
      <c r="F115" s="42"/>
      <c r="G115" s="41"/>
      <c r="H115" s="42"/>
      <c r="I115" s="41"/>
      <c r="J115" s="42"/>
      <c r="K115" s="41"/>
      <c r="L115" s="42"/>
      <c r="M115" s="41"/>
      <c r="N115" s="70"/>
      <c r="O115"/>
    </row>
    <row r="116" ht="60" spans="2:14">
      <c r="B116" s="40" t="str">
        <f>Planilha!A112</f>
        <v>1.14.1</v>
      </c>
      <c r="C116" s="43" t="str">
        <f>VLOOKUP($B116,Planilha!$A$11:$I$193,4,FALSE)</f>
        <v>Cerca H=2.30cm, c/tela losang. arame fio 12 malha 2" revest. em PVC com mourão curvo de concreto H=3,20m, secção T, fixado emsolo, a cada 3m, c/3 fios de arame farpado na parte curva, incl 3 fios tensores, chumbadores e sapata de 40x40x50cm</v>
      </c>
      <c r="D116" s="44">
        <f>VLOOKUP($B116,Planilha!$A$11:$I$193,9,FALSE)</f>
        <v>2277.52</v>
      </c>
      <c r="E116" s="47"/>
      <c r="F116" s="46">
        <f t="shared" ref="F116:F121" si="64">E116*$D116</f>
        <v>0</v>
      </c>
      <c r="G116" s="47"/>
      <c r="H116" s="46">
        <f t="shared" si="60"/>
        <v>0</v>
      </c>
      <c r="I116" s="45"/>
      <c r="J116" s="46">
        <f t="shared" si="61"/>
        <v>0</v>
      </c>
      <c r="K116" s="45">
        <v>1</v>
      </c>
      <c r="L116" s="46">
        <f t="shared" si="62"/>
        <v>2277.52</v>
      </c>
      <c r="M116" s="47"/>
      <c r="N116" s="71">
        <f t="shared" si="63"/>
        <v>0</v>
      </c>
    </row>
    <row r="117" ht="45" spans="2:14">
      <c r="B117" s="40" t="str">
        <f>Planilha!A113</f>
        <v>1.14.2</v>
      </c>
      <c r="C117" s="43" t="str">
        <f>VLOOKUP($B117,Planilha!$A$11:$I$193,4,FALSE)</f>
        <v>Passeio de cimentado camurçado com argamassa de cimento e areia no traço 1:3 esp. 1.5cm, e lastro de concreto com 8cm de espessura, inclusive preparo de caixa</v>
      </c>
      <c r="D117" s="44">
        <f>VLOOKUP($B117,Planilha!$A$11:$I$193,9,FALSE)</f>
        <v>4283.52</v>
      </c>
      <c r="E117" s="47"/>
      <c r="F117" s="46">
        <f t="shared" si="64"/>
        <v>0</v>
      </c>
      <c r="G117" s="47"/>
      <c r="H117" s="46">
        <f t="shared" si="60"/>
        <v>0</v>
      </c>
      <c r="I117" s="45"/>
      <c r="J117" s="46">
        <f t="shared" si="61"/>
        <v>0</v>
      </c>
      <c r="K117" s="45">
        <v>1</v>
      </c>
      <c r="L117" s="46">
        <f t="shared" si="62"/>
        <v>4283.52</v>
      </c>
      <c r="M117" s="45"/>
      <c r="N117" s="71">
        <f t="shared" si="63"/>
        <v>0</v>
      </c>
    </row>
    <row r="118" ht="45" spans="2:14">
      <c r="B118" s="40" t="str">
        <f>Planilha!A114</f>
        <v>1.14.3</v>
      </c>
      <c r="C118" s="43" t="str">
        <f>VLOOKUP($B118,Planilha!$A$11:$I$193,4,FALSE)</f>
        <v>Placa para inauguração de obra em alumínio polido e=4mm, dimensões 40 x 50 cm, gravação em baixo relevo, inclusive pintura e fixação</v>
      </c>
      <c r="D118" s="44">
        <f>VLOOKUP($B118,Planilha!$A$11:$I$193,9,FALSE)</f>
        <v>1014.15</v>
      </c>
      <c r="E118" s="47"/>
      <c r="F118" s="46">
        <f t="shared" si="64"/>
        <v>0</v>
      </c>
      <c r="G118" s="47"/>
      <c r="H118" s="46">
        <f t="shared" si="60"/>
        <v>0</v>
      </c>
      <c r="I118" s="47"/>
      <c r="J118" s="46">
        <f t="shared" si="61"/>
        <v>0</v>
      </c>
      <c r="K118" s="45"/>
      <c r="L118" s="46">
        <f t="shared" si="62"/>
        <v>0</v>
      </c>
      <c r="M118" s="45">
        <v>1</v>
      </c>
      <c r="N118" s="71">
        <f t="shared" si="63"/>
        <v>1014.15</v>
      </c>
    </row>
    <row r="119" ht="30" spans="2:14">
      <c r="B119" s="40" t="str">
        <f>Planilha!A115</f>
        <v>1.14.4</v>
      </c>
      <c r="C119" s="43" t="str">
        <f>VLOOKUP($B119,Planilha!$A$11:$I$193,4,FALSE)</f>
        <v>Confecção e instalação de placa em acm adesivada com aplicação de verniz, estrutra em metalon galvanizado medindo 3,2 x 0,7</v>
      </c>
      <c r="D119" s="44">
        <f>VLOOKUP($B119,Planilha!$A$11:$I$193,9,FALSE)</f>
        <v>1299.81</v>
      </c>
      <c r="E119" s="47"/>
      <c r="F119" s="46">
        <f t="shared" si="64"/>
        <v>0</v>
      </c>
      <c r="G119" s="47"/>
      <c r="H119" s="46">
        <f t="shared" si="60"/>
        <v>0</v>
      </c>
      <c r="I119" s="47"/>
      <c r="J119" s="46">
        <f t="shared" si="61"/>
        <v>0</v>
      </c>
      <c r="K119" s="45"/>
      <c r="L119" s="46">
        <f t="shared" si="62"/>
        <v>0</v>
      </c>
      <c r="M119" s="45">
        <v>1</v>
      </c>
      <c r="N119" s="71">
        <f t="shared" si="63"/>
        <v>1299.81</v>
      </c>
    </row>
    <row r="120" s="2" customFormat="1" spans="2:15">
      <c r="B120" s="40" t="str">
        <f>Planilha!A116</f>
        <v>1.15</v>
      </c>
      <c r="C120" s="36" t="s">
        <v>287</v>
      </c>
      <c r="D120" s="37">
        <f>SUM(D121)</f>
        <v>4293.26</v>
      </c>
      <c r="E120" s="41"/>
      <c r="F120" s="42"/>
      <c r="G120" s="41"/>
      <c r="H120" s="42"/>
      <c r="I120" s="41"/>
      <c r="J120" s="42"/>
      <c r="K120" s="41"/>
      <c r="L120" s="42"/>
      <c r="M120" s="41"/>
      <c r="N120" s="70"/>
      <c r="O120"/>
    </row>
    <row r="121" spans="2:14">
      <c r="B121" s="40" t="str">
        <f>Planilha!A117</f>
        <v>1.15.1</v>
      </c>
      <c r="C121" s="43" t="str">
        <f>VLOOKUP($B121,Planilha!$A$11:$I$193,4,FALSE)</f>
        <v>Limpeza geral da obra (edificação)</v>
      </c>
      <c r="D121" s="44">
        <f>VLOOKUP($B121,Planilha!$A$11:$I$193,9,FALSE)</f>
        <v>4293.26</v>
      </c>
      <c r="E121" s="47"/>
      <c r="F121" s="46">
        <f t="shared" si="64"/>
        <v>0</v>
      </c>
      <c r="G121" s="47"/>
      <c r="H121" s="46">
        <f t="shared" ref="H121:H127" si="65">G121*$D121</f>
        <v>0</v>
      </c>
      <c r="I121" s="47"/>
      <c r="J121" s="46">
        <f t="shared" ref="J121:J127" si="66">I121*$D121</f>
        <v>0</v>
      </c>
      <c r="K121" s="45"/>
      <c r="L121" s="46">
        <f t="shared" ref="L121:L127" si="67">K121*$D121</f>
        <v>0</v>
      </c>
      <c r="M121" s="45">
        <v>1</v>
      </c>
      <c r="N121" s="71">
        <f t="shared" ref="N121:N127" si="68">M121*$D121</f>
        <v>4293.26</v>
      </c>
    </row>
    <row r="122" s="2" customFormat="1" spans="2:15">
      <c r="B122" s="40" t="str">
        <f>Planilha!A118</f>
        <v>1.16</v>
      </c>
      <c r="C122" s="36" t="str">
        <f>VLOOKUP($B122,Planilha!$A$11:$I$193,4,FALSE)</f>
        <v>Serviços complementares internos</v>
      </c>
      <c r="D122" s="37">
        <f>SUM(D123)</f>
        <v>5090.04</v>
      </c>
      <c r="E122" s="41"/>
      <c r="F122" s="42"/>
      <c r="G122" s="41"/>
      <c r="H122" s="42"/>
      <c r="I122" s="41"/>
      <c r="J122" s="42"/>
      <c r="K122" s="41"/>
      <c r="L122" s="42"/>
      <c r="M122" s="41"/>
      <c r="N122" s="70"/>
      <c r="O122"/>
    </row>
    <row r="123" ht="60" spans="2:14">
      <c r="B123" s="40" t="str">
        <f>Planilha!A119</f>
        <v>1.16.1</v>
      </c>
      <c r="C123" s="43" t="str">
        <f>VLOOKUP($B123,Planilha!$A$11:$I$193,4,FALSE)</f>
        <v>Quadro pincel novo, completo, de laminado melamínico alta pressão, "LOUSA" quadriculado, cor branco brilhante, linha Lousas, padrão F608 Brancoline, esp. 1mm, incl. requadro madeira 2.5 x 5.0 cm e porta pincel, dim. 3.95 x 1.29 m</v>
      </c>
      <c r="D123" s="44">
        <f>VLOOKUP($B123,Planilha!$A$11:$I$193,9,FALSE)</f>
        <v>5090.04</v>
      </c>
      <c r="E123" s="47"/>
      <c r="F123" s="46">
        <f t="shared" ref="F123:F127" si="69">E123*$D123</f>
        <v>0</v>
      </c>
      <c r="G123" s="47"/>
      <c r="H123" s="46">
        <f t="shared" si="65"/>
        <v>0</v>
      </c>
      <c r="I123" s="47"/>
      <c r="J123" s="46">
        <f t="shared" si="66"/>
        <v>0</v>
      </c>
      <c r="K123" s="45"/>
      <c r="L123" s="46">
        <f t="shared" si="67"/>
        <v>0</v>
      </c>
      <c r="M123" s="45">
        <v>1</v>
      </c>
      <c r="N123" s="71">
        <f t="shared" si="68"/>
        <v>5090.04</v>
      </c>
    </row>
    <row r="124" s="2" customFormat="1" spans="2:15">
      <c r="B124" s="40" t="str">
        <f>Planilha!A121</f>
        <v>2.0</v>
      </c>
      <c r="C124" s="36" t="str">
        <f>VLOOKUP($B124,Planilha!$A$11:$I$193,4,FALSE)</f>
        <v>Ampliação</v>
      </c>
      <c r="D124" s="37">
        <v>47346.39</v>
      </c>
      <c r="E124" s="41"/>
      <c r="F124" s="42"/>
      <c r="G124" s="41"/>
      <c r="H124" s="42"/>
      <c r="I124" s="41"/>
      <c r="J124" s="42"/>
      <c r="K124" s="41"/>
      <c r="L124" s="42"/>
      <c r="M124" s="41"/>
      <c r="N124" s="70"/>
      <c r="O124"/>
    </row>
    <row r="125" s="2" customFormat="1" spans="2:15">
      <c r="B125" s="40" t="str">
        <f>Planilha!A122</f>
        <v>2.1</v>
      </c>
      <c r="C125" s="36" t="str">
        <f>VLOOKUP($B125,Planilha!$A$11:$I$193,4,FALSE)</f>
        <v>Serviços preliminares</v>
      </c>
      <c r="D125" s="37">
        <f>SUM(D126:D127)</f>
        <v>268.16</v>
      </c>
      <c r="E125" s="41"/>
      <c r="F125" s="42"/>
      <c r="G125" s="41"/>
      <c r="H125" s="42"/>
      <c r="I125" s="41"/>
      <c r="J125" s="42"/>
      <c r="K125" s="41"/>
      <c r="L125" s="42"/>
      <c r="M125" s="41"/>
      <c r="N125" s="70"/>
      <c r="O125"/>
    </row>
    <row r="126" spans="2:14">
      <c r="B126" s="40" t="str">
        <f>Planilha!A123</f>
        <v>2.1.1</v>
      </c>
      <c r="C126" s="43" t="str">
        <f>VLOOKUP($B126,Planilha!$A$11:$I$193,4,FALSE)</f>
        <v>Raspagem e limpeza do terreno (manual)</v>
      </c>
      <c r="D126" s="44">
        <f>VLOOKUP($B126,Planilha!$A$11:$I$193,9,FALSE)</f>
        <v>68.84</v>
      </c>
      <c r="E126" s="47">
        <v>1</v>
      </c>
      <c r="F126" s="46">
        <f t="shared" si="69"/>
        <v>68.84</v>
      </c>
      <c r="G126" s="47"/>
      <c r="H126" s="46">
        <f t="shared" si="65"/>
        <v>0</v>
      </c>
      <c r="I126" s="47"/>
      <c r="J126" s="46">
        <f t="shared" si="66"/>
        <v>0</v>
      </c>
      <c r="K126" s="47"/>
      <c r="L126" s="46">
        <f t="shared" si="67"/>
        <v>0</v>
      </c>
      <c r="M126" s="47"/>
      <c r="N126" s="71">
        <f t="shared" si="68"/>
        <v>0</v>
      </c>
    </row>
    <row r="127" spans="2:14">
      <c r="B127" s="40" t="str">
        <f>Planilha!A124</f>
        <v>2.1.2</v>
      </c>
      <c r="C127" s="43" t="str">
        <f>VLOOKUP($B127,Planilha!$A$11:$I$193,4,FALSE)</f>
        <v>Locação de obra com gabarito de madeira</v>
      </c>
      <c r="D127" s="44">
        <f>VLOOKUP($B127,Planilha!$A$11:$I$193,9,FALSE)</f>
        <v>199.32</v>
      </c>
      <c r="E127" s="45">
        <v>1</v>
      </c>
      <c r="F127" s="46">
        <f t="shared" si="69"/>
        <v>199.32</v>
      </c>
      <c r="G127" s="47"/>
      <c r="H127" s="46">
        <f t="shared" si="65"/>
        <v>0</v>
      </c>
      <c r="I127" s="47"/>
      <c r="J127" s="46">
        <f t="shared" si="66"/>
        <v>0</v>
      </c>
      <c r="K127" s="47"/>
      <c r="L127" s="46">
        <f t="shared" si="67"/>
        <v>0</v>
      </c>
      <c r="M127" s="47"/>
      <c r="N127" s="71">
        <f t="shared" si="68"/>
        <v>0</v>
      </c>
    </row>
    <row r="128" s="2" customFormat="1" spans="2:15">
      <c r="B128" s="40" t="str">
        <f>Planilha!A125</f>
        <v>2.2</v>
      </c>
      <c r="C128" s="36" t="str">
        <f>VLOOKUP($B128,Planilha!$A$11:$I$193,4,FALSE)</f>
        <v>Movimento de terra</v>
      </c>
      <c r="D128" s="37">
        <f>SUM(D129:D131)</f>
        <v>1461.9</v>
      </c>
      <c r="E128" s="41"/>
      <c r="F128" s="42"/>
      <c r="G128" s="41"/>
      <c r="H128" s="42"/>
      <c r="I128" s="41"/>
      <c r="J128" s="42"/>
      <c r="K128" s="41"/>
      <c r="L128" s="42"/>
      <c r="M128" s="41"/>
      <c r="N128" s="70"/>
      <c r="O128"/>
    </row>
    <row r="129" ht="30" spans="2:14">
      <c r="B129" s="40" t="str">
        <f>Planilha!A126</f>
        <v>2.2.1</v>
      </c>
      <c r="C129" s="43" t="str">
        <f>VLOOKUP($B129,Planilha!$A$11:$I$193,4,FALSE)</f>
        <v>Escavação manual em material de 1a. categoria, até 1.50 m de profundidade</v>
      </c>
      <c r="D129" s="44">
        <f>VLOOKUP($B129,Planilha!$A$11:$I$193,9,FALSE)</f>
        <v>645.91</v>
      </c>
      <c r="E129" s="45">
        <v>1</v>
      </c>
      <c r="F129" s="46">
        <f t="shared" ref="F129:F134" si="70">E129*$D129</f>
        <v>645.91</v>
      </c>
      <c r="G129" s="47"/>
      <c r="H129" s="46">
        <f t="shared" ref="H129:H131" si="71">G129*$D129</f>
        <v>0</v>
      </c>
      <c r="I129" s="47"/>
      <c r="J129" s="46">
        <f t="shared" ref="J129:J131" si="72">I129*$D129</f>
        <v>0</v>
      </c>
      <c r="K129" s="47"/>
      <c r="L129" s="46">
        <f t="shared" ref="L129:L131" si="73">K129*$D129</f>
        <v>0</v>
      </c>
      <c r="M129" s="47"/>
      <c r="N129" s="71">
        <f t="shared" ref="N129:N131" si="74">M129*$D129</f>
        <v>0</v>
      </c>
    </row>
    <row r="130" spans="2:14">
      <c r="B130" s="40" t="str">
        <f>Planilha!A127</f>
        <v>2.2.2</v>
      </c>
      <c r="C130" s="43" t="str">
        <f>VLOOKUP($B130,Planilha!$A$11:$I$193,4,FALSE)</f>
        <v>Reaterro apiloado de cavas de fundação, em camadas de 20 cm</v>
      </c>
      <c r="D130" s="44">
        <f>VLOOKUP($B130,Planilha!$A$11:$I$193,9,FALSE)</f>
        <v>603.82</v>
      </c>
      <c r="E130" s="45"/>
      <c r="F130" s="46">
        <f t="shared" si="70"/>
        <v>0</v>
      </c>
      <c r="G130" s="45">
        <v>1</v>
      </c>
      <c r="H130" s="46">
        <f t="shared" si="71"/>
        <v>603.82</v>
      </c>
      <c r="I130" s="47"/>
      <c r="J130" s="46">
        <f t="shared" si="72"/>
        <v>0</v>
      </c>
      <c r="K130" s="47"/>
      <c r="L130" s="46">
        <f t="shared" si="73"/>
        <v>0</v>
      </c>
      <c r="M130" s="47"/>
      <c r="N130" s="71">
        <f t="shared" si="74"/>
        <v>0</v>
      </c>
    </row>
    <row r="131" ht="45" spans="2:14">
      <c r="B131" s="40" t="str">
        <f>Planilha!A128</f>
        <v>2.2.3</v>
      </c>
      <c r="C131" s="43" t="str">
        <f>VLOOKUP($B131,Planilha!$A$11:$I$193,4,FALSE)</f>
        <v>Aterro manual para regularização do terreno em areia, inclusive adensamento hidráulico e fornecimento do material (máximo de 100m3)</v>
      </c>
      <c r="D131" s="44">
        <f>VLOOKUP($B131,Planilha!$A$11:$I$193,9,FALSE)</f>
        <v>212.17</v>
      </c>
      <c r="E131" s="47"/>
      <c r="F131" s="46">
        <f t="shared" si="70"/>
        <v>0</v>
      </c>
      <c r="G131" s="45">
        <v>1</v>
      </c>
      <c r="H131" s="46">
        <f t="shared" si="71"/>
        <v>212.17</v>
      </c>
      <c r="I131" s="47"/>
      <c r="J131" s="46">
        <f t="shared" si="72"/>
        <v>0</v>
      </c>
      <c r="K131" s="47"/>
      <c r="L131" s="46">
        <f t="shared" si="73"/>
        <v>0</v>
      </c>
      <c r="M131" s="47"/>
      <c r="N131" s="71">
        <f t="shared" si="74"/>
        <v>0</v>
      </c>
    </row>
    <row r="132" s="2" customFormat="1" spans="2:15">
      <c r="B132" s="40" t="str">
        <f>Planilha!A129</f>
        <v>2.3</v>
      </c>
      <c r="C132" s="36" t="str">
        <f>VLOOKUP($B132,Planilha!$A$11:$I$193,4,FALSE)</f>
        <v>Estrutura</v>
      </c>
      <c r="D132" s="37">
        <f>SUM(D133,D139)</f>
        <v>9648.48</v>
      </c>
      <c r="E132" s="41"/>
      <c r="F132" s="42"/>
      <c r="G132" s="41"/>
      <c r="H132" s="42"/>
      <c r="I132" s="41"/>
      <c r="J132" s="42"/>
      <c r="K132" s="41"/>
      <c r="L132" s="42"/>
      <c r="M132" s="41"/>
      <c r="N132" s="70"/>
      <c r="O132"/>
    </row>
    <row r="133" s="2" customFormat="1" spans="2:15">
      <c r="B133" s="40" t="str">
        <f>Planilha!A130</f>
        <v>2.3.1</v>
      </c>
      <c r="C133" s="36" t="str">
        <f>VLOOKUP($B133,Planilha!$A$11:$I$193,4,FALSE)</f>
        <v>Infraestrutura</v>
      </c>
      <c r="D133" s="37">
        <f>SUM(D134:D138)</f>
        <v>4589.93</v>
      </c>
      <c r="E133" s="41"/>
      <c r="F133" s="42"/>
      <c r="G133" s="41"/>
      <c r="H133" s="42"/>
      <c r="I133" s="41"/>
      <c r="J133" s="42"/>
      <c r="K133" s="41"/>
      <c r="L133" s="42"/>
      <c r="M133" s="41"/>
      <c r="N133" s="70"/>
      <c r="O133"/>
    </row>
    <row r="134" ht="45" spans="2:14">
      <c r="B134" s="40" t="str">
        <f>Planilha!A131</f>
        <v>2.3.1.1</v>
      </c>
      <c r="C134" s="43" t="str">
        <f>VLOOKUP($B134,Planilha!$A$11:$I$193,4,FALSE)</f>
        <v>Fornecimento, preparo e aplicação de concreto magro com consumo mínimo de cimento de 250 kg/m3 (brita 1 e 2) - (5% de perdas já incluído no custo)</v>
      </c>
      <c r="D134" s="44">
        <f>VLOOKUP($B134,Planilha!$A$11:$I$193,9,FALSE)</f>
        <v>306.23</v>
      </c>
      <c r="E134" s="45">
        <v>1</v>
      </c>
      <c r="F134" s="46">
        <f t="shared" si="70"/>
        <v>306.23</v>
      </c>
      <c r="G134" s="45"/>
      <c r="H134" s="46">
        <f t="shared" ref="H134:H138" si="75">G134*$D134</f>
        <v>0</v>
      </c>
      <c r="I134" s="47"/>
      <c r="J134" s="46">
        <f t="shared" ref="J134:J138" si="76">I134*$D134</f>
        <v>0</v>
      </c>
      <c r="K134" s="47"/>
      <c r="L134" s="46">
        <f t="shared" ref="L134:L138" si="77">K134*$D134</f>
        <v>0</v>
      </c>
      <c r="M134" s="47"/>
      <c r="N134" s="71">
        <f t="shared" ref="N134:N138" si="78">M134*$D134</f>
        <v>0</v>
      </c>
    </row>
    <row r="135" ht="30" spans="2:14">
      <c r="B135" s="40" t="str">
        <f>Planilha!A132</f>
        <v>2.3.1.2</v>
      </c>
      <c r="C135" s="43" t="str">
        <f>VLOOKUP($B135,Planilha!$A$11:$I$193,4,FALSE)</f>
        <v>Fornecimento, preparo e aplicação de concreto Fck=25 MPa (brita 1 e 2) - (5% de perdas já incluído no custo)</v>
      </c>
      <c r="D135" s="44">
        <f>VLOOKUP($B135,Planilha!$A$11:$I$193,9,FALSE)</f>
        <v>1161.33</v>
      </c>
      <c r="E135" s="45">
        <v>1</v>
      </c>
      <c r="F135" s="46">
        <f t="shared" ref="F135:F140" si="79">E135*$D135</f>
        <v>1161.33</v>
      </c>
      <c r="G135" s="45"/>
      <c r="H135" s="46">
        <f t="shared" si="75"/>
        <v>0</v>
      </c>
      <c r="I135" s="47"/>
      <c r="J135" s="46">
        <f t="shared" si="76"/>
        <v>0</v>
      </c>
      <c r="K135" s="47"/>
      <c r="L135" s="46">
        <f t="shared" si="77"/>
        <v>0</v>
      </c>
      <c r="M135" s="47"/>
      <c r="N135" s="71">
        <f t="shared" si="78"/>
        <v>0</v>
      </c>
    </row>
    <row r="136" ht="30" spans="2:14">
      <c r="B136" s="40" t="str">
        <f>Planilha!A133</f>
        <v>2.3.1.3</v>
      </c>
      <c r="C136" s="43" t="str">
        <f>VLOOKUP($B136,Planilha!$A$11:$I$193,4,FALSE)</f>
        <v>Fornecimento, dobragem e colocação em fôrma, de armadura CA-50 A média, diâmetro de 6.3 a 10.0 mm</v>
      </c>
      <c r="D136" s="44">
        <f>VLOOKUP($B136,Planilha!$A$11:$I$193,9,FALSE)</f>
        <v>929.8</v>
      </c>
      <c r="E136" s="45">
        <v>1</v>
      </c>
      <c r="F136" s="46">
        <f t="shared" si="79"/>
        <v>929.8</v>
      </c>
      <c r="G136" s="45"/>
      <c r="H136" s="46">
        <f t="shared" si="75"/>
        <v>0</v>
      </c>
      <c r="I136" s="47"/>
      <c r="J136" s="46">
        <f t="shared" si="76"/>
        <v>0</v>
      </c>
      <c r="K136" s="47"/>
      <c r="L136" s="46">
        <f t="shared" si="77"/>
        <v>0</v>
      </c>
      <c r="M136" s="47"/>
      <c r="N136" s="71">
        <f t="shared" si="78"/>
        <v>0</v>
      </c>
    </row>
    <row r="137" ht="30" spans="2:14">
      <c r="B137" s="40" t="str">
        <f>Planilha!A134</f>
        <v>2.3.1.4</v>
      </c>
      <c r="C137" s="43" t="str">
        <f>VLOOKUP($B137,Planilha!$A$11:$I$193,4,FALSE)</f>
        <v>Fornecimento, dobragem e colocação em fôrma, de armadura CA-60 B fina, diâmetro de 4.0 a 7.0mm</v>
      </c>
      <c r="D137" s="44">
        <f>VLOOKUP($B137,Planilha!$A$11:$I$193,9,FALSE)</f>
        <v>181.85</v>
      </c>
      <c r="E137" s="45">
        <v>1</v>
      </c>
      <c r="F137" s="46">
        <f t="shared" si="79"/>
        <v>181.85</v>
      </c>
      <c r="G137" s="45"/>
      <c r="H137" s="46">
        <f t="shared" si="75"/>
        <v>0</v>
      </c>
      <c r="I137" s="47"/>
      <c r="J137" s="46">
        <f t="shared" si="76"/>
        <v>0</v>
      </c>
      <c r="K137" s="47"/>
      <c r="L137" s="46">
        <f t="shared" si="77"/>
        <v>0</v>
      </c>
      <c r="M137" s="47"/>
      <c r="N137" s="71">
        <f t="shared" si="78"/>
        <v>0</v>
      </c>
    </row>
    <row r="138" ht="45" spans="2:14">
      <c r="B138" s="40" t="str">
        <f>Planilha!A135</f>
        <v>2.3.1.5</v>
      </c>
      <c r="C138" s="43" t="str">
        <f>VLOOKUP($B138,Planilha!$A$11:$I$193,4,FALSE)</f>
        <v>Fôrma de tábua de madeira de 2.5x30.0cm, levando-se em conta utilização 1 vez (incluindo o material, corte, montagem, escoramento e desforma)</v>
      </c>
      <c r="D138" s="44">
        <f>VLOOKUP($B138,Planilha!$A$11:$I$193,9,FALSE)</f>
        <v>2010.72</v>
      </c>
      <c r="E138" s="45">
        <v>1</v>
      </c>
      <c r="F138" s="46">
        <f t="shared" si="79"/>
        <v>2010.72</v>
      </c>
      <c r="G138" s="45"/>
      <c r="H138" s="46">
        <f t="shared" si="75"/>
        <v>0</v>
      </c>
      <c r="I138" s="47"/>
      <c r="J138" s="46">
        <f t="shared" si="76"/>
        <v>0</v>
      </c>
      <c r="K138" s="47"/>
      <c r="L138" s="46">
        <f t="shared" si="77"/>
        <v>0</v>
      </c>
      <c r="M138" s="47"/>
      <c r="N138" s="71">
        <f t="shared" si="78"/>
        <v>0</v>
      </c>
    </row>
    <row r="139" s="2" customFormat="1" spans="2:15">
      <c r="B139" s="40" t="str">
        <f>Planilha!A136</f>
        <v>2.3.2</v>
      </c>
      <c r="C139" s="36" t="str">
        <f>VLOOKUP($B139,Planilha!$A$11:$I$193,4,FALSE)</f>
        <v>Superestrutura</v>
      </c>
      <c r="D139" s="37">
        <f>SUM(D140:D144)</f>
        <v>5058.55</v>
      </c>
      <c r="E139" s="41"/>
      <c r="F139" s="42"/>
      <c r="G139" s="41"/>
      <c r="H139" s="42"/>
      <c r="I139" s="41"/>
      <c r="J139" s="42"/>
      <c r="K139" s="41"/>
      <c r="L139" s="42"/>
      <c r="M139" s="41"/>
      <c r="N139" s="70"/>
      <c r="O139"/>
    </row>
    <row r="140" ht="30" spans="2:14">
      <c r="B140" s="40" t="str">
        <f>Planilha!A137</f>
        <v>2.3.2.1</v>
      </c>
      <c r="C140" s="43" t="str">
        <f>VLOOKUP($B140,Planilha!$A$11:$I$193,4,FALSE)</f>
        <v>Fornecimento, preparo e aplicação de concreto Fck=25 MPa (brita 1 e 2) - (5% de perdas já incluído no custo)</v>
      </c>
      <c r="D140" s="44">
        <f>VLOOKUP($B140,Planilha!$A$11:$I$193,9,FALSE)</f>
        <v>735.76</v>
      </c>
      <c r="E140" s="45"/>
      <c r="F140" s="46">
        <f t="shared" si="79"/>
        <v>0</v>
      </c>
      <c r="G140" s="45">
        <v>1</v>
      </c>
      <c r="H140" s="46">
        <f t="shared" ref="H140:H144" si="80">G140*$D140</f>
        <v>735.76</v>
      </c>
      <c r="I140" s="47"/>
      <c r="J140" s="46">
        <f t="shared" ref="J140:J144" si="81">I140*$D140</f>
        <v>0</v>
      </c>
      <c r="K140" s="47"/>
      <c r="L140" s="46">
        <f t="shared" ref="L140:L144" si="82">K140*$D140</f>
        <v>0</v>
      </c>
      <c r="M140" s="47"/>
      <c r="N140" s="71">
        <f t="shared" ref="N140:N144" si="83">M140*$D140</f>
        <v>0</v>
      </c>
    </row>
    <row r="141" ht="30" spans="2:14">
      <c r="B141" s="40" t="str">
        <f>Planilha!A138</f>
        <v>2.3.2.2</v>
      </c>
      <c r="C141" s="43" t="str">
        <f>VLOOKUP($B141,Planilha!$A$11:$I$193,4,FALSE)</f>
        <v>Fornecimento, dobragem e colocação em fôrma, de armadura CA-50 A média, diâmetro de 6.3 a 10.0 mm</v>
      </c>
      <c r="D141" s="44">
        <f>VLOOKUP($B141,Planilha!$A$11:$I$193,9,FALSE)</f>
        <v>561.9</v>
      </c>
      <c r="E141" s="45"/>
      <c r="F141" s="46">
        <f t="shared" ref="F141:F147" si="84">E141*$D141</f>
        <v>0</v>
      </c>
      <c r="G141" s="45">
        <v>1</v>
      </c>
      <c r="H141" s="46">
        <f t="shared" si="80"/>
        <v>561.9</v>
      </c>
      <c r="I141" s="47"/>
      <c r="J141" s="46">
        <f t="shared" si="81"/>
        <v>0</v>
      </c>
      <c r="K141" s="47"/>
      <c r="L141" s="46">
        <f t="shared" si="82"/>
        <v>0</v>
      </c>
      <c r="M141" s="47"/>
      <c r="N141" s="71">
        <f t="shared" si="83"/>
        <v>0</v>
      </c>
    </row>
    <row r="142" ht="30" spans="2:14">
      <c r="B142" s="40" t="str">
        <f>Planilha!A139</f>
        <v>2.3.2.3</v>
      </c>
      <c r="C142" s="43" t="s">
        <v>247</v>
      </c>
      <c r="D142" s="44">
        <f>VLOOKUP($B142,Planilha!$A$11:$I$193,9,FALSE)</f>
        <v>265.2</v>
      </c>
      <c r="E142" s="45"/>
      <c r="F142" s="46">
        <f t="shared" si="84"/>
        <v>0</v>
      </c>
      <c r="G142" s="45">
        <v>1</v>
      </c>
      <c r="H142" s="46">
        <f t="shared" si="80"/>
        <v>265.2</v>
      </c>
      <c r="I142" s="47"/>
      <c r="J142" s="46">
        <f t="shared" si="81"/>
        <v>0</v>
      </c>
      <c r="K142" s="47"/>
      <c r="L142" s="46">
        <f t="shared" si="82"/>
        <v>0</v>
      </c>
      <c r="M142" s="47"/>
      <c r="N142" s="71">
        <f t="shared" si="83"/>
        <v>0</v>
      </c>
    </row>
    <row r="143" ht="60" spans="2:14">
      <c r="B143" s="40" t="str">
        <f>Planilha!A140</f>
        <v>2.3.2.4</v>
      </c>
      <c r="C143" s="43" t="str">
        <f>VLOOKUP($B143,Planilha!$A$11:$I$193,4,FALSE)</f>
        <v>Forma de chapas madeira compensada resinada, esp. 12mm, levando-se em conta a utilização 3 vezes, reforçadas com sarrafos de madeira de 2.5 x 10.0cm (incl material, corte, montagem, escoras em eucalipto e desforma)</v>
      </c>
      <c r="D143" s="44">
        <f>VLOOKUP($B143,Planilha!$A$11:$I$193,9,FALSE)</f>
        <v>2538.64</v>
      </c>
      <c r="E143" s="45"/>
      <c r="F143" s="46">
        <f t="shared" si="84"/>
        <v>0</v>
      </c>
      <c r="G143" s="45">
        <v>1</v>
      </c>
      <c r="H143" s="46">
        <f t="shared" si="80"/>
        <v>2538.64</v>
      </c>
      <c r="I143" s="47"/>
      <c r="J143" s="46">
        <f t="shared" si="81"/>
        <v>0</v>
      </c>
      <c r="K143" s="45"/>
      <c r="L143" s="46">
        <f t="shared" si="82"/>
        <v>0</v>
      </c>
      <c r="M143" s="45"/>
      <c r="N143" s="71">
        <f t="shared" si="83"/>
        <v>0</v>
      </c>
    </row>
    <row r="144" ht="45" spans="2:14">
      <c r="B144" s="40" t="str">
        <f>Planilha!A141</f>
        <v>2.3.2.5</v>
      </c>
      <c r="C144" s="43" t="str">
        <f>VLOOKUP($B144,Planilha!$A$11:$I$193,4,FALSE)</f>
        <v>Execução de junta de dilatação 2 x 2 cm considerando 1cm de aplicação de isopor e 1cm de aplicação de mastique elástico do tipo sikaflex 1a ou equivalente</v>
      </c>
      <c r="D144" s="44">
        <f>VLOOKUP($B144,Planilha!$A$11:$I$193,9,FALSE)</f>
        <v>957.05</v>
      </c>
      <c r="E144" s="45"/>
      <c r="F144" s="46">
        <f t="shared" si="84"/>
        <v>0</v>
      </c>
      <c r="G144" s="45">
        <v>1</v>
      </c>
      <c r="H144" s="46">
        <f t="shared" si="80"/>
        <v>957.05</v>
      </c>
      <c r="I144" s="47"/>
      <c r="J144" s="46">
        <f t="shared" si="81"/>
        <v>0</v>
      </c>
      <c r="K144" s="47"/>
      <c r="L144" s="46">
        <f t="shared" si="82"/>
        <v>0</v>
      </c>
      <c r="M144" s="47"/>
      <c r="N144" s="71">
        <f t="shared" si="83"/>
        <v>0</v>
      </c>
    </row>
    <row r="145" s="2" customFormat="1" spans="2:15">
      <c r="B145" s="40" t="str">
        <f>Planilha!A142</f>
        <v>2.4</v>
      </c>
      <c r="C145" s="36" t="str">
        <f>VLOOKUP($B145,Planilha!$A$11:$I$193,4,FALSE)</f>
        <v>Paredes e painéis</v>
      </c>
      <c r="D145" s="37">
        <f>SUM(D146:D147)</f>
        <v>2362.1</v>
      </c>
      <c r="E145" s="41"/>
      <c r="F145" s="42"/>
      <c r="G145" s="41"/>
      <c r="H145" s="42"/>
      <c r="I145" s="41"/>
      <c r="J145" s="42"/>
      <c r="K145" s="41"/>
      <c r="L145" s="42"/>
      <c r="M145" s="41"/>
      <c r="N145" s="70"/>
      <c r="O145"/>
    </row>
    <row r="146" ht="30" spans="2:14">
      <c r="B146" s="40" t="str">
        <f>Planilha!A143</f>
        <v>2.4.1</v>
      </c>
      <c r="C146" s="43" t="str">
        <f>VLOOKUP($B146,Planilha!$A$11:$I$193,4,FALSE)</f>
        <v>Verga/contraverga reta de concreto armado 10 x 5 cm, Fck = 15 MPa, inclusive forma, armação e desforma</v>
      </c>
      <c r="D146" s="44">
        <f>VLOOKUP($B146,Planilha!$A$11:$I$193,9,FALSE)</f>
        <v>41.62</v>
      </c>
      <c r="E146" s="47"/>
      <c r="F146" s="46">
        <f t="shared" si="84"/>
        <v>0</v>
      </c>
      <c r="G146" s="45">
        <v>1</v>
      </c>
      <c r="H146" s="46">
        <f t="shared" ref="H146:H152" si="85">G146*$D146</f>
        <v>41.62</v>
      </c>
      <c r="I146" s="45"/>
      <c r="J146" s="46">
        <f t="shared" ref="J146:J152" si="86">I146*$D146</f>
        <v>0</v>
      </c>
      <c r="K146" s="47"/>
      <c r="L146" s="46">
        <f t="shared" ref="L146:L152" si="87">K146*$D146</f>
        <v>0</v>
      </c>
      <c r="M146" s="47"/>
      <c r="N146" s="71">
        <f t="shared" ref="N146:N152" si="88">M146*$D146</f>
        <v>0</v>
      </c>
    </row>
    <row r="147" ht="60" spans="2:14">
      <c r="B147" s="40" t="str">
        <f>Planilha!A144</f>
        <v>2.4.2</v>
      </c>
      <c r="C147" s="43" t="s">
        <v>333</v>
      </c>
      <c r="D147" s="44">
        <f>VLOOKUP($B147,Planilha!$A$11:$I$193,9,FALSE)</f>
        <v>2320.48</v>
      </c>
      <c r="E147" s="47"/>
      <c r="F147" s="46">
        <f t="shared" si="84"/>
        <v>0</v>
      </c>
      <c r="G147" s="45">
        <v>1</v>
      </c>
      <c r="H147" s="46">
        <f t="shared" si="85"/>
        <v>2320.48</v>
      </c>
      <c r="I147" s="45"/>
      <c r="J147" s="46">
        <f t="shared" si="86"/>
        <v>0</v>
      </c>
      <c r="K147" s="47"/>
      <c r="L147" s="46">
        <f t="shared" si="87"/>
        <v>0</v>
      </c>
      <c r="M147" s="47"/>
      <c r="N147" s="71">
        <f t="shared" si="88"/>
        <v>0</v>
      </c>
    </row>
    <row r="148" s="2" customFormat="1" spans="2:15">
      <c r="B148" s="40" t="str">
        <f>Planilha!A145</f>
        <v>2.5</v>
      </c>
      <c r="C148" s="36" t="str">
        <f>VLOOKUP($B148,Planilha!$A$11:$I$193,4,FALSE)</f>
        <v>Esquadrias metálicas</v>
      </c>
      <c r="D148" s="37">
        <f>SUM(D149:D152)</f>
        <v>4642.35</v>
      </c>
      <c r="E148" s="41"/>
      <c r="F148" s="42"/>
      <c r="G148" s="41"/>
      <c r="H148" s="42"/>
      <c r="I148" s="41"/>
      <c r="J148" s="42"/>
      <c r="K148" s="41"/>
      <c r="L148" s="42"/>
      <c r="M148" s="41"/>
      <c r="N148" s="70"/>
      <c r="O148"/>
    </row>
    <row r="149" ht="30" spans="2:14">
      <c r="B149" s="40" t="str">
        <f>Planilha!A146</f>
        <v>2.5.1</v>
      </c>
      <c r="C149" s="43" t="str">
        <f>VLOOKUP($B149,Planilha!$A$11:$I$193,4,FALSE)</f>
        <v>Grade de tela tipo mosquiteiro de arame galvanizado #18, fio 32, inclusive, requadro em cantoneira de ferro 1/8"x1/2"x1/2"</v>
      </c>
      <c r="D149" s="44">
        <f>VLOOKUP($B149,Planilha!$A$11:$I$193,9,FALSE)</f>
        <v>94.07</v>
      </c>
      <c r="E149" s="47"/>
      <c r="F149" s="46">
        <f t="shared" ref="F149:F154" si="89">E149*$D149</f>
        <v>0</v>
      </c>
      <c r="G149" s="47"/>
      <c r="H149" s="46">
        <f t="shared" si="85"/>
        <v>0</v>
      </c>
      <c r="I149" s="45"/>
      <c r="J149" s="46">
        <f t="shared" si="86"/>
        <v>0</v>
      </c>
      <c r="K149" s="45"/>
      <c r="L149" s="46">
        <f t="shared" si="87"/>
        <v>0</v>
      </c>
      <c r="M149" s="45">
        <v>1</v>
      </c>
      <c r="N149" s="71">
        <f t="shared" si="88"/>
        <v>94.07</v>
      </c>
    </row>
    <row r="150" spans="2:14">
      <c r="B150" s="40" t="str">
        <f>Planilha!A147</f>
        <v>2.5.2</v>
      </c>
      <c r="C150" s="43" t="str">
        <f>VLOOKUP($B150,Planilha!$A$11:$I$193,4,FALSE)</f>
        <v>Grade de ferro em barra chata, inclusive chumbamento</v>
      </c>
      <c r="D150" s="44">
        <f>VLOOKUP($B150,Planilha!$A$11:$I$193,9,FALSE)</f>
        <v>2321.54</v>
      </c>
      <c r="E150" s="47"/>
      <c r="F150" s="46">
        <f t="shared" si="89"/>
        <v>0</v>
      </c>
      <c r="G150" s="47"/>
      <c r="H150" s="46">
        <f t="shared" si="85"/>
        <v>0</v>
      </c>
      <c r="I150" s="45"/>
      <c r="J150" s="46">
        <f t="shared" si="86"/>
        <v>0</v>
      </c>
      <c r="K150" s="45"/>
      <c r="L150" s="46">
        <f t="shared" si="87"/>
        <v>0</v>
      </c>
      <c r="M150" s="45">
        <v>1</v>
      </c>
      <c r="N150" s="71">
        <f t="shared" si="88"/>
        <v>2321.54</v>
      </c>
    </row>
    <row r="151" ht="45" spans="2:14">
      <c r="B151" s="40" t="str">
        <f>Planilha!A148</f>
        <v>2.5.3</v>
      </c>
      <c r="C151" s="43" t="str">
        <f>VLOOKUP($B151,Planilha!$A$11:$I$193,4,FALSE)</f>
        <v>Janela de correr para vidro em alumínio anodizado cor natural, linha 25, completa, incl. puxador com tranca, alizar, caixilho e contramarco, exclusive vidro</v>
      </c>
      <c r="D151" s="44">
        <f>VLOOKUP($B151,Planilha!$A$11:$I$193,9,FALSE)</f>
        <v>1910.21</v>
      </c>
      <c r="E151" s="47"/>
      <c r="F151" s="46">
        <f t="shared" si="89"/>
        <v>0</v>
      </c>
      <c r="G151" s="47"/>
      <c r="H151" s="46">
        <f t="shared" si="85"/>
        <v>0</v>
      </c>
      <c r="I151" s="45"/>
      <c r="J151" s="46">
        <f t="shared" si="86"/>
        <v>0</v>
      </c>
      <c r="K151" s="45"/>
      <c r="L151" s="46">
        <f t="shared" si="87"/>
        <v>0</v>
      </c>
      <c r="M151" s="45">
        <v>1</v>
      </c>
      <c r="N151" s="71">
        <f t="shared" si="88"/>
        <v>1910.21</v>
      </c>
    </row>
    <row r="152" ht="45" spans="2:14">
      <c r="B152" s="40" t="str">
        <f>Planilha!A149</f>
        <v>2.5.4</v>
      </c>
      <c r="C152" s="43" t="str">
        <f>VLOOKUP($B152,Planilha!$A$11:$I$193,4,FALSE)</f>
        <v>Janela tipo maxim-ar para vidro em alumínio anodizado natural, linha 25, completa, incl. puxador com tranca, caixilho, alizar e contramarco, exclusive vidro</v>
      </c>
      <c r="D152" s="44">
        <f>VLOOKUP($B152,Planilha!$A$11:$I$193,9,FALSE)</f>
        <v>316.53</v>
      </c>
      <c r="E152" s="47"/>
      <c r="F152" s="46">
        <f t="shared" si="89"/>
        <v>0</v>
      </c>
      <c r="G152" s="47"/>
      <c r="H152" s="46">
        <f t="shared" si="85"/>
        <v>0</v>
      </c>
      <c r="I152" s="45"/>
      <c r="J152" s="46">
        <f t="shared" si="86"/>
        <v>0</v>
      </c>
      <c r="K152" s="45"/>
      <c r="L152" s="46">
        <f t="shared" si="87"/>
        <v>0</v>
      </c>
      <c r="M152" s="45">
        <v>1</v>
      </c>
      <c r="N152" s="71">
        <f t="shared" si="88"/>
        <v>316.53</v>
      </c>
    </row>
    <row r="153" s="2" customFormat="1" spans="2:15">
      <c r="B153" s="40" t="str">
        <f>Planilha!A150</f>
        <v>2.6</v>
      </c>
      <c r="C153" s="36" t="str">
        <f>VLOOKUP($B153,Planilha!$A$11:$I$193,4,FALSE)</f>
        <v>Vidro</v>
      </c>
      <c r="D153" s="37">
        <f>SUM(D154)</f>
        <v>837.21</v>
      </c>
      <c r="E153" s="41"/>
      <c r="F153" s="42"/>
      <c r="G153" s="41"/>
      <c r="H153" s="42"/>
      <c r="I153" s="41"/>
      <c r="J153" s="42"/>
      <c r="K153" s="41"/>
      <c r="L153" s="42"/>
      <c r="M153" s="41"/>
      <c r="N153" s="70"/>
      <c r="O153"/>
    </row>
    <row r="154" spans="2:14">
      <c r="B154" s="40" t="str">
        <f>Planilha!A151</f>
        <v>2.6.1</v>
      </c>
      <c r="C154" s="43" t="str">
        <f>VLOOKUP($B154,Planilha!$A$11:$I$193,4,FALSE)</f>
        <v>Vidro plano transparente liso, com 4 mm de espessura</v>
      </c>
      <c r="D154" s="44">
        <f>VLOOKUP($B154,Planilha!$A$11:$I$193,9,FALSE)</f>
        <v>837.21</v>
      </c>
      <c r="E154" s="47"/>
      <c r="F154" s="46">
        <f t="shared" si="89"/>
        <v>0</v>
      </c>
      <c r="G154" s="47"/>
      <c r="H154" s="46">
        <f t="shared" ref="H154:H158" si="90">G154*$D154</f>
        <v>0</v>
      </c>
      <c r="I154" s="45"/>
      <c r="J154" s="46">
        <f t="shared" ref="J154:J158" si="91">I154*$D154</f>
        <v>0</v>
      </c>
      <c r="K154" s="45"/>
      <c r="L154" s="46">
        <f t="shared" ref="L154:L158" si="92">K154*$D154</f>
        <v>0</v>
      </c>
      <c r="M154" s="45">
        <v>1</v>
      </c>
      <c r="N154" s="71">
        <f t="shared" ref="N154:N158" si="93">M154*$D154</f>
        <v>837.21</v>
      </c>
    </row>
    <row r="155" s="2" customFormat="1" spans="2:15">
      <c r="B155" s="40" t="str">
        <f>Planilha!A152</f>
        <v>2.7</v>
      </c>
      <c r="C155" s="36" t="str">
        <f>VLOOKUP($B155,Planilha!$A$11:$I$193,4,FALSE)</f>
        <v>Cobertura</v>
      </c>
      <c r="D155" s="37">
        <f>SUM(D156:D158)</f>
        <v>10285.78</v>
      </c>
      <c r="E155" s="41"/>
      <c r="F155" s="42"/>
      <c r="G155" s="41"/>
      <c r="H155" s="42"/>
      <c r="I155" s="41"/>
      <c r="J155" s="42"/>
      <c r="K155" s="41"/>
      <c r="L155" s="42"/>
      <c r="M155" s="41"/>
      <c r="N155" s="70"/>
      <c r="O155"/>
    </row>
    <row r="156" ht="60" spans="2:14">
      <c r="B156" s="40" t="str">
        <f>Planilha!A153</f>
        <v>2.7.1</v>
      </c>
      <c r="C156" s="43" t="str">
        <f>VLOOKUP($B156,Planilha!$A$11:$I$193,4,FALSE)</f>
        <v>Estrutura de madeira de lei tipo Paraju, peroba mica, angelim pedra ou equivalente para telhado de telhas cerâmicas tipo capa e canal c/ tesouras, pilares, vigas, terças, caibros e ripas, incl. trat. c/cupinicida, exclusive telhas</v>
      </c>
      <c r="D156" s="44">
        <f>VLOOKUP($B156,Planilha!$A$11:$I$193,9,FALSE)</f>
        <v>8115.58</v>
      </c>
      <c r="E156" s="47"/>
      <c r="F156" s="46">
        <f t="shared" ref="F156:F158" si="94">E156*$D156</f>
        <v>0</v>
      </c>
      <c r="G156" s="45">
        <v>1</v>
      </c>
      <c r="H156" s="46">
        <f t="shared" si="90"/>
        <v>8115.58</v>
      </c>
      <c r="I156" s="45"/>
      <c r="J156" s="46">
        <f t="shared" si="91"/>
        <v>0</v>
      </c>
      <c r="K156" s="45"/>
      <c r="L156" s="46">
        <f t="shared" si="92"/>
        <v>0</v>
      </c>
      <c r="M156" s="45"/>
      <c r="N156" s="71">
        <f t="shared" si="93"/>
        <v>0</v>
      </c>
    </row>
    <row r="157" ht="30" spans="2:14">
      <c r="B157" s="40" t="str">
        <f>Planilha!A154</f>
        <v>2.7.2</v>
      </c>
      <c r="C157" s="43" t="str">
        <f>VLOOKUP($B157,Planilha!$A$11:$I$193,4,FALSE)</f>
        <v>Cobertura nova de telhas cerâmicas tipo capa e canal inclusive cumeeiras (telhas compradas na fábrica, posto obra)</v>
      </c>
      <c r="D157" s="44">
        <f>VLOOKUP($B157,Planilha!$A$11:$I$193,9,FALSE)</f>
        <v>1980.6</v>
      </c>
      <c r="E157" s="47"/>
      <c r="F157" s="46">
        <f t="shared" si="94"/>
        <v>0</v>
      </c>
      <c r="G157" s="45">
        <v>1</v>
      </c>
      <c r="H157" s="46">
        <f t="shared" si="90"/>
        <v>1980.6</v>
      </c>
      <c r="I157" s="45"/>
      <c r="J157" s="46">
        <f t="shared" si="91"/>
        <v>0</v>
      </c>
      <c r="K157" s="47"/>
      <c r="L157" s="46">
        <f t="shared" si="92"/>
        <v>0</v>
      </c>
      <c r="M157" s="47"/>
      <c r="N157" s="71">
        <f t="shared" si="93"/>
        <v>0</v>
      </c>
    </row>
    <row r="158" spans="2:14">
      <c r="B158" s="40" t="str">
        <f>Planilha!A155</f>
        <v>2.7.3</v>
      </c>
      <c r="C158" s="43" t="str">
        <f>VLOOKUP($B158,Planilha!$A$11:$I$193,4,FALSE)</f>
        <v>Rufo de chapa metálica nº 26 com largura de 30 cm</v>
      </c>
      <c r="D158" s="44">
        <f>VLOOKUP($B158,Planilha!$A$11:$I$193,9,FALSE)</f>
        <v>189.6</v>
      </c>
      <c r="E158" s="47"/>
      <c r="F158" s="46">
        <f t="shared" si="94"/>
        <v>0</v>
      </c>
      <c r="G158" s="45">
        <v>1</v>
      </c>
      <c r="H158" s="46">
        <f t="shared" si="90"/>
        <v>189.6</v>
      </c>
      <c r="I158" s="45"/>
      <c r="J158" s="46">
        <f t="shared" si="91"/>
        <v>0</v>
      </c>
      <c r="K158" s="47"/>
      <c r="L158" s="46">
        <f t="shared" si="92"/>
        <v>0</v>
      </c>
      <c r="M158" s="47"/>
      <c r="N158" s="71">
        <f t="shared" si="93"/>
        <v>0</v>
      </c>
    </row>
    <row r="159" s="2" customFormat="1" spans="2:15">
      <c r="B159" s="40" t="str">
        <f>Planilha!A156</f>
        <v>2.8</v>
      </c>
      <c r="C159" s="36" t="s">
        <v>271</v>
      </c>
      <c r="D159" s="37">
        <f>SUM(D160)</f>
        <v>814.57</v>
      </c>
      <c r="E159" s="41"/>
      <c r="F159" s="42"/>
      <c r="G159" s="41"/>
      <c r="H159" s="42"/>
      <c r="I159" s="41"/>
      <c r="J159" s="42"/>
      <c r="K159" s="41"/>
      <c r="L159" s="42"/>
      <c r="M159" s="41"/>
      <c r="N159" s="70"/>
      <c r="O159"/>
    </row>
    <row r="160" spans="2:14">
      <c r="B160" s="40" t="str">
        <f>Planilha!A157</f>
        <v>2.8.1</v>
      </c>
      <c r="C160" s="43" t="str">
        <f>VLOOKUP($B160,Planilha!$A$11:$I$193,4,FALSE)</f>
        <v>Forro PVC branco L = 20 cm, frisado, colocado</v>
      </c>
      <c r="D160" s="44">
        <f>VLOOKUP($B160,Planilha!$A$11:$I$193,9,FALSE)</f>
        <v>814.57</v>
      </c>
      <c r="E160" s="47"/>
      <c r="F160" s="46">
        <f>E160*$D160</f>
        <v>0</v>
      </c>
      <c r="G160" s="47"/>
      <c r="H160" s="46">
        <f t="shared" ref="H160:H165" si="95">G160*$D160</f>
        <v>0</v>
      </c>
      <c r="I160" s="45">
        <v>1</v>
      </c>
      <c r="J160" s="46">
        <f t="shared" ref="J160:J165" si="96">I160*$D160</f>
        <v>814.57</v>
      </c>
      <c r="K160" s="45"/>
      <c r="L160" s="46">
        <f t="shared" ref="L160:L165" si="97">K160*$D160</f>
        <v>0</v>
      </c>
      <c r="M160" s="45"/>
      <c r="N160" s="71">
        <f t="shared" ref="N160:N165" si="98">M160*$D160</f>
        <v>0</v>
      </c>
    </row>
    <row r="161" s="2" customFormat="1" spans="2:15">
      <c r="B161" s="40" t="str">
        <f>Planilha!A158</f>
        <v>2.9</v>
      </c>
      <c r="C161" s="36" t="str">
        <f>VLOOKUP($B161,Planilha!$A$11:$I$193,4,FALSE)</f>
        <v>Revestimento de paredes</v>
      </c>
      <c r="D161" s="37">
        <f>SUM(D162:D165)</f>
        <v>6551.58</v>
      </c>
      <c r="E161" s="41"/>
      <c r="F161" s="42"/>
      <c r="G161" s="41"/>
      <c r="H161" s="42"/>
      <c r="I161" s="41"/>
      <c r="J161" s="42"/>
      <c r="K161" s="41"/>
      <c r="L161" s="42"/>
      <c r="M161" s="41"/>
      <c r="N161" s="70"/>
      <c r="O161"/>
    </row>
    <row r="162" ht="30" spans="2:14">
      <c r="B162" s="40" t="str">
        <f>Planilha!A159</f>
        <v>2.9.1</v>
      </c>
      <c r="C162" s="43" t="str">
        <f>VLOOKUP($B162,Planilha!$A$11:$I$193,4,FALSE)</f>
        <v>Chapisco de argamassa de cimento e areia média ou grossa lavada, no traço 1:3, espessura 5 mm</v>
      </c>
      <c r="D162" s="44">
        <f>VLOOKUP($B162,Planilha!$A$11:$I$193,9,FALSE)</f>
        <v>457.16</v>
      </c>
      <c r="E162" s="47"/>
      <c r="F162" s="46">
        <f t="shared" ref="F162:F167" si="99">E162*$D162</f>
        <v>0</v>
      </c>
      <c r="G162" s="45"/>
      <c r="H162" s="46">
        <f t="shared" si="95"/>
        <v>0</v>
      </c>
      <c r="I162" s="45">
        <v>1</v>
      </c>
      <c r="J162" s="46">
        <f t="shared" si="96"/>
        <v>457.16</v>
      </c>
      <c r="K162" s="47"/>
      <c r="L162" s="46">
        <f t="shared" si="97"/>
        <v>0</v>
      </c>
      <c r="M162" s="47"/>
      <c r="N162" s="71">
        <f t="shared" si="98"/>
        <v>0</v>
      </c>
    </row>
    <row r="163" ht="45" spans="2:14">
      <c r="B163" s="40" t="str">
        <f>Planilha!A160</f>
        <v>2.9.2</v>
      </c>
      <c r="C163" s="43" t="str">
        <f>VLOOKUP($B163,Planilha!$A$11:$I$193,4,FALSE)</f>
        <v>Azulejo branco 15 x 15 cm, juntas a prumo, assentado com argamassa de cimento colante, inclusive rejuntamento com cimento branco, marcas de referência Eliane, Cecrisa ou Portobello</v>
      </c>
      <c r="D163" s="44">
        <f>VLOOKUP($B163,Planilha!$A$11:$I$193,9,FALSE)</f>
        <v>2846.05</v>
      </c>
      <c r="E163" s="47"/>
      <c r="F163" s="46">
        <f t="shared" si="99"/>
        <v>0</v>
      </c>
      <c r="G163" s="47"/>
      <c r="H163" s="46">
        <f t="shared" si="95"/>
        <v>0</v>
      </c>
      <c r="I163" s="45"/>
      <c r="J163" s="46">
        <f t="shared" si="96"/>
        <v>0</v>
      </c>
      <c r="K163" s="45">
        <v>1</v>
      </c>
      <c r="L163" s="46">
        <f t="shared" si="97"/>
        <v>2846.05</v>
      </c>
      <c r="M163" s="45"/>
      <c r="N163" s="71">
        <f t="shared" si="98"/>
        <v>0</v>
      </c>
    </row>
    <row r="164" ht="30" spans="2:14">
      <c r="B164" s="40" t="str">
        <f>Planilha!A161</f>
        <v>2.9.3</v>
      </c>
      <c r="C164" s="43" t="str">
        <f>VLOOKUP($B164,Planilha!$A$11:$I$193,4,FALSE)</f>
        <v>Emboço de argamassa de cimento, cal hidratada CH1 e areia média ou grossa lavada no traço 1:0.5:6, espessura 20 mm</v>
      </c>
      <c r="D164" s="44">
        <f>VLOOKUP($B164,Planilha!$A$11:$I$193,9,FALSE)</f>
        <v>778.57</v>
      </c>
      <c r="E164" s="47"/>
      <c r="F164" s="46">
        <f t="shared" si="99"/>
        <v>0</v>
      </c>
      <c r="G164" s="45"/>
      <c r="H164" s="46">
        <f t="shared" si="95"/>
        <v>0</v>
      </c>
      <c r="I164" s="45">
        <v>1</v>
      </c>
      <c r="J164" s="46">
        <f t="shared" si="96"/>
        <v>778.57</v>
      </c>
      <c r="K164" s="47"/>
      <c r="L164" s="46">
        <f t="shared" si="97"/>
        <v>0</v>
      </c>
      <c r="M164" s="47"/>
      <c r="N164" s="71">
        <f t="shared" si="98"/>
        <v>0</v>
      </c>
    </row>
    <row r="165" ht="30" spans="2:14">
      <c r="B165" s="40" t="str">
        <f>Planilha!A162</f>
        <v>2.9.4</v>
      </c>
      <c r="C165" s="43" t="str">
        <f>VLOOKUP($B165,Planilha!$A$11:$I$193,4,FALSE)</f>
        <v>Reboco tipo paulista de argamassa de cimento, cal hidratada CH1 e areia média ou grossa lavada no traço 1:0.5:6, espessura 25 mm</v>
      </c>
      <c r="D165" s="44">
        <f>VLOOKUP($B165,Planilha!$A$11:$I$193,9,FALSE)</f>
        <v>2469.8</v>
      </c>
      <c r="E165" s="47"/>
      <c r="F165" s="46">
        <f t="shared" si="99"/>
        <v>0</v>
      </c>
      <c r="G165" s="45"/>
      <c r="H165" s="46">
        <f t="shared" si="95"/>
        <v>0</v>
      </c>
      <c r="I165" s="45">
        <v>1</v>
      </c>
      <c r="J165" s="46">
        <f t="shared" si="96"/>
        <v>2469.8</v>
      </c>
      <c r="K165" s="47"/>
      <c r="L165" s="46">
        <f t="shared" si="97"/>
        <v>0</v>
      </c>
      <c r="M165" s="47"/>
      <c r="N165" s="71">
        <f t="shared" si="98"/>
        <v>0</v>
      </c>
    </row>
    <row r="166" s="2" customFormat="1" spans="2:15">
      <c r="B166" s="40" t="str">
        <f>Planilha!A163</f>
        <v>2.10</v>
      </c>
      <c r="C166" s="36" t="str">
        <f>VLOOKUP($B166,Planilha!$A$11:$I$193,4,FALSE)</f>
        <v>Pisos externos e internos</v>
      </c>
      <c r="D166" s="37">
        <f>SUM(D167:D169)</f>
        <v>1580.93</v>
      </c>
      <c r="E166" s="41"/>
      <c r="F166" s="42"/>
      <c r="G166" s="41"/>
      <c r="H166" s="42"/>
      <c r="I166" s="41"/>
      <c r="J166" s="42"/>
      <c r="K166" s="41"/>
      <c r="L166" s="42"/>
      <c r="M166" s="41"/>
      <c r="N166" s="70"/>
      <c r="O166"/>
    </row>
    <row r="167" ht="30" spans="2:14">
      <c r="B167" s="40" t="str">
        <f>Planilha!A164</f>
        <v>2.10.1</v>
      </c>
      <c r="C167" s="43" t="str">
        <f>VLOOKUP($B167,Planilha!$A$11:$I$193,4,FALSE)</f>
        <v>Regularização de base p/ revestimento cerâmico, com argamassa de cimento e areia no traço 1:5, espessura 3cm</v>
      </c>
      <c r="D167" s="44">
        <f>VLOOKUP($B167,Planilha!$A$11:$I$193,9,FALSE)</f>
        <v>202.77</v>
      </c>
      <c r="E167" s="47"/>
      <c r="F167" s="46">
        <f t="shared" si="99"/>
        <v>0</v>
      </c>
      <c r="G167" s="45"/>
      <c r="H167" s="46">
        <f t="shared" ref="H167:H169" si="100">G167*$D167</f>
        <v>0</v>
      </c>
      <c r="I167" s="45">
        <v>1</v>
      </c>
      <c r="J167" s="46">
        <f t="shared" ref="J167:J169" si="101">I167*$D167</f>
        <v>202.77</v>
      </c>
      <c r="K167" s="45"/>
      <c r="L167" s="46">
        <f t="shared" ref="L167:L169" si="102">K167*$D167</f>
        <v>0</v>
      </c>
      <c r="M167" s="45"/>
      <c r="N167" s="71">
        <f t="shared" ref="N167:N169" si="103">M167*$D167</f>
        <v>0</v>
      </c>
    </row>
    <row r="168" ht="30" spans="2:14">
      <c r="B168" s="40" t="str">
        <f>Planilha!A165</f>
        <v>2.10.2</v>
      </c>
      <c r="C168" s="43" t="str">
        <f>VLOOKUP($B168,Planilha!$A$11:$I$193,4,FALSE)</f>
        <v>Lastro impermeabilizado de concreto não estrutural, espessura de 8cm</v>
      </c>
      <c r="D168" s="44">
        <f>VLOOKUP($B168,Planilha!$A$11:$I$193,9,FALSE)</f>
        <v>680.26</v>
      </c>
      <c r="E168" s="47"/>
      <c r="F168" s="46">
        <f t="shared" ref="F168:F171" si="104">E168*$D168</f>
        <v>0</v>
      </c>
      <c r="G168" s="45"/>
      <c r="H168" s="46">
        <f t="shared" si="100"/>
        <v>0</v>
      </c>
      <c r="I168" s="45">
        <v>1</v>
      </c>
      <c r="J168" s="46">
        <f t="shared" si="101"/>
        <v>680.26</v>
      </c>
      <c r="K168" s="47"/>
      <c r="L168" s="46">
        <f t="shared" si="102"/>
        <v>0</v>
      </c>
      <c r="M168" s="47"/>
      <c r="N168" s="71">
        <f t="shared" si="103"/>
        <v>0</v>
      </c>
    </row>
    <row r="169" ht="45" spans="2:14">
      <c r="B169" s="40" t="str">
        <f>Planilha!A166</f>
        <v>2.10.3</v>
      </c>
      <c r="C169" s="43" t="str">
        <f>VLOOKUP($B169,Planilha!$A$11:$I$193,4,FALSE)</f>
        <v>Piso cerâmico 45x45cm, PEI 5, Cargo Plus Gray, marcas de referência Eliane, Cecrisa ou Portobello, assentado com argamassa de cimento colante, inclusive rejuntamento</v>
      </c>
      <c r="D169" s="44">
        <f>VLOOKUP($B169,Planilha!$A$11:$I$193,9,FALSE)</f>
        <v>697.9</v>
      </c>
      <c r="E169" s="47"/>
      <c r="F169" s="46">
        <f t="shared" si="104"/>
        <v>0</v>
      </c>
      <c r="G169" s="45"/>
      <c r="H169" s="46">
        <f t="shared" si="100"/>
        <v>0</v>
      </c>
      <c r="I169" s="45"/>
      <c r="J169" s="46">
        <f t="shared" si="101"/>
        <v>0</v>
      </c>
      <c r="K169" s="45">
        <v>1</v>
      </c>
      <c r="L169" s="46">
        <f t="shared" si="102"/>
        <v>697.9</v>
      </c>
      <c r="M169" s="45"/>
      <c r="N169" s="71">
        <f t="shared" si="103"/>
        <v>0</v>
      </c>
    </row>
    <row r="170" s="2" customFormat="1" spans="2:15">
      <c r="B170" s="40" t="str">
        <f>Planilha!A167</f>
        <v>2.11</v>
      </c>
      <c r="C170" s="36" t="str">
        <f>VLOOKUP($B170,Planilha!$A$11:$I$193,4,FALSE)</f>
        <v>Instalações Elétricas</v>
      </c>
      <c r="D170" s="37">
        <f>SUM(D171:D180)</f>
        <v>2495.39</v>
      </c>
      <c r="E170" s="41"/>
      <c r="F170" s="42"/>
      <c r="G170" s="41"/>
      <c r="H170" s="42"/>
      <c r="I170" s="41"/>
      <c r="J170" s="42"/>
      <c r="K170" s="41"/>
      <c r="L170" s="42"/>
      <c r="M170" s="41"/>
      <c r="N170" s="70"/>
      <c r="O170"/>
    </row>
    <row r="171" ht="30" spans="2:14">
      <c r="B171" s="40" t="str">
        <f>Planilha!A168</f>
        <v>2.11.1</v>
      </c>
      <c r="C171" s="43" t="str">
        <f>VLOOKUP($B171,Planilha!$A$11:$I$193,4,FALSE)</f>
        <v>Quadro de distribuição de energia, de embutir, com 6 divisões modulares, com barramento trifásico 100A</v>
      </c>
      <c r="D171" s="44">
        <f>VLOOKUP($B171,Planilha!$A$11:$I$193,9,FALSE)</f>
        <v>248.96</v>
      </c>
      <c r="E171" s="47"/>
      <c r="F171" s="46">
        <f t="shared" si="104"/>
        <v>0</v>
      </c>
      <c r="G171" s="45"/>
      <c r="H171" s="46">
        <f t="shared" ref="H171:H180" si="105">G171*$D171</f>
        <v>0</v>
      </c>
      <c r="I171" s="45">
        <v>1</v>
      </c>
      <c r="J171" s="46">
        <f t="shared" ref="J171:J180" si="106">I171*$D171</f>
        <v>248.96</v>
      </c>
      <c r="K171" s="47"/>
      <c r="L171" s="46">
        <f t="shared" ref="L171:L180" si="107">K171*$D171</f>
        <v>0</v>
      </c>
      <c r="M171" s="47"/>
      <c r="N171" s="71">
        <f t="shared" ref="N171:N180" si="108">M171*$D171</f>
        <v>0</v>
      </c>
    </row>
    <row r="172" ht="30" spans="2:14">
      <c r="B172" s="40" t="str">
        <f>Planilha!A169</f>
        <v>2.11.2</v>
      </c>
      <c r="C172" s="43" t="str">
        <f>VLOOKUP($B172,Planilha!$A$11:$I$193,4,FALSE)</f>
        <v>Mini-Disjuntor bipolar 20 A, curva C - 5KA 220/127VCA (NBR IEC 60947-2), Ref. Siemens, GE, Schneider ou equivalente</v>
      </c>
      <c r="D172" s="44">
        <f>VLOOKUP($B172,Planilha!$A$11:$I$193,9,FALSE)</f>
        <v>76.7</v>
      </c>
      <c r="E172" s="47"/>
      <c r="F172" s="46">
        <f t="shared" ref="F172:F180" si="109">E172*$D172</f>
        <v>0</v>
      </c>
      <c r="G172" s="45"/>
      <c r="H172" s="46">
        <f t="shared" si="105"/>
        <v>0</v>
      </c>
      <c r="I172" s="45">
        <v>1</v>
      </c>
      <c r="J172" s="46">
        <f t="shared" si="106"/>
        <v>76.7</v>
      </c>
      <c r="K172" s="47"/>
      <c r="L172" s="46">
        <f t="shared" si="107"/>
        <v>0</v>
      </c>
      <c r="M172" s="47"/>
      <c r="N172" s="71">
        <f t="shared" si="108"/>
        <v>0</v>
      </c>
    </row>
    <row r="173" spans="2:14">
      <c r="B173" s="40" t="str">
        <f>Planilha!A170</f>
        <v>2.11.3</v>
      </c>
      <c r="C173" s="43" t="str">
        <f>VLOOKUP($B173,Planilha!$A$11:$I$193,4,FALSE)</f>
        <v>Interruptor Diferencial DR 25A, 30mA, 2 módulos</v>
      </c>
      <c r="D173" s="44">
        <f>VLOOKUP($B173,Planilha!$A$11:$I$193,9,FALSE)</f>
        <v>198.89</v>
      </c>
      <c r="E173" s="47"/>
      <c r="F173" s="46">
        <f t="shared" si="109"/>
        <v>0</v>
      </c>
      <c r="G173" s="47"/>
      <c r="H173" s="46">
        <f t="shared" si="105"/>
        <v>0</v>
      </c>
      <c r="I173" s="45">
        <v>1</v>
      </c>
      <c r="J173" s="46">
        <f t="shared" si="106"/>
        <v>198.89</v>
      </c>
      <c r="K173" s="45"/>
      <c r="L173" s="46">
        <f t="shared" si="107"/>
        <v>0</v>
      </c>
      <c r="M173" s="45"/>
      <c r="N173" s="71">
        <f t="shared" si="108"/>
        <v>0</v>
      </c>
    </row>
    <row r="174" ht="30" spans="2:14">
      <c r="B174" s="40" t="str">
        <f>Planilha!A171</f>
        <v>2.11.4</v>
      </c>
      <c r="C174" s="43" t="str">
        <f>VLOOKUP($B174,Planilha!$A$11:$I$193,4,FALSE)</f>
        <v>Fio ou cabo de cobre termoplástico, com isolamento para 750V, seção de 6.0 mm2</v>
      </c>
      <c r="D174" s="44">
        <f>VLOOKUP($B174,Planilha!$A$11:$I$193,9,FALSE)</f>
        <v>368.72</v>
      </c>
      <c r="E174" s="47"/>
      <c r="F174" s="46">
        <f t="shared" si="109"/>
        <v>0</v>
      </c>
      <c r="G174" s="45">
        <v>0.75</v>
      </c>
      <c r="H174" s="46">
        <f t="shared" si="105"/>
        <v>276.54</v>
      </c>
      <c r="I174" s="45">
        <v>0.25</v>
      </c>
      <c r="J174" s="46">
        <f t="shared" si="106"/>
        <v>92.18</v>
      </c>
      <c r="K174" s="47"/>
      <c r="L174" s="46">
        <f t="shared" si="107"/>
        <v>0</v>
      </c>
      <c r="M174" s="47"/>
      <c r="N174" s="71">
        <f t="shared" si="108"/>
        <v>0</v>
      </c>
    </row>
    <row r="175" ht="45" spans="2:14">
      <c r="B175" s="40" t="str">
        <f>Planilha!A172</f>
        <v>2.11.5</v>
      </c>
      <c r="C175" s="43" t="str">
        <f>VLOOKUP($B175,Planilha!$A$11:$I$193,4,FALSE)</f>
        <v>Ponto padrão de luz no teto - considerando eletroduto PVC rígido de 3/4" inclusive conexões (4.5m), fio isolado PVC de 2.5mm2 (16.2m) e caixa PVC 4x4" (1 und)</v>
      </c>
      <c r="D175" s="44">
        <f>VLOOKUP($B175,Planilha!$A$11:$I$193,9,FALSE)</f>
        <v>263.23</v>
      </c>
      <c r="E175" s="47"/>
      <c r="F175" s="46">
        <f t="shared" si="109"/>
        <v>0</v>
      </c>
      <c r="G175" s="45"/>
      <c r="H175" s="46">
        <f t="shared" si="105"/>
        <v>0</v>
      </c>
      <c r="I175" s="45">
        <v>1</v>
      </c>
      <c r="J175" s="46">
        <f t="shared" si="106"/>
        <v>263.23</v>
      </c>
      <c r="K175" s="47"/>
      <c r="L175" s="46">
        <f t="shared" si="107"/>
        <v>0</v>
      </c>
      <c r="M175" s="47"/>
      <c r="N175" s="71">
        <f t="shared" si="108"/>
        <v>0</v>
      </c>
    </row>
    <row r="176" ht="45" spans="2:14">
      <c r="B176" s="40" t="str">
        <f>Planilha!A173</f>
        <v>2.11.6</v>
      </c>
      <c r="C176" s="43" t="str">
        <f>VLOOKUP($B176,Planilha!$A$11:$I$193,4,FALSE)</f>
        <v>Ponto padrão de tomada 2 pólos mais terra - considerando eletroduto PVC rígido de 3/4" inclusive conexões (5.0m), fio isolado PVC de 2.5mm2 (16.5m) e caixa pvc 4x2" (1 und)</v>
      </c>
      <c r="D176" s="44">
        <f>VLOOKUP($B176,Planilha!$A$11:$I$193,9,FALSE)</f>
        <v>536.5</v>
      </c>
      <c r="E176" s="47"/>
      <c r="F176" s="46">
        <f t="shared" si="109"/>
        <v>0</v>
      </c>
      <c r="G176" s="45">
        <v>0.75</v>
      </c>
      <c r="H176" s="46">
        <f t="shared" si="105"/>
        <v>402.375</v>
      </c>
      <c r="I176" s="45">
        <v>0.25</v>
      </c>
      <c r="J176" s="46">
        <f t="shared" si="106"/>
        <v>134.125</v>
      </c>
      <c r="K176" s="47"/>
      <c r="L176" s="46">
        <f t="shared" si="107"/>
        <v>0</v>
      </c>
      <c r="M176" s="47"/>
      <c r="N176" s="71">
        <f t="shared" si="108"/>
        <v>0</v>
      </c>
    </row>
    <row r="177" ht="60" spans="2:14">
      <c r="B177" s="40" t="str">
        <f>Planilha!A174</f>
        <v>2.11.7</v>
      </c>
      <c r="C177" s="43" t="str">
        <f>VLOOKUP($B177,Planilha!$A$11:$I$193,4,FALSE)</f>
        <v>Ponto padrão de interruptor de 1 tecla simples e 1 tomada dois pólos mais terra 10A/250V - considerando eletroduto PVC rígido de 3/4" inclusive conexões (4.5m), fio isolado PVC de 2.5mm2 (19.4m) e caixa PVC 4x2" (1 und)</v>
      </c>
      <c r="D177" s="44">
        <f>VLOOKUP($B177,Planilha!$A$11:$I$193,9,FALSE)</f>
        <v>282.61</v>
      </c>
      <c r="E177" s="47"/>
      <c r="F177" s="46">
        <f t="shared" si="109"/>
        <v>0</v>
      </c>
      <c r="G177" s="45">
        <v>0.75</v>
      </c>
      <c r="H177" s="46">
        <f t="shared" si="105"/>
        <v>211.9575</v>
      </c>
      <c r="I177" s="45">
        <v>0.25</v>
      </c>
      <c r="J177" s="46">
        <f t="shared" si="106"/>
        <v>70.6525</v>
      </c>
      <c r="K177" s="47"/>
      <c r="L177" s="46">
        <f t="shared" si="107"/>
        <v>0</v>
      </c>
      <c r="M177" s="47"/>
      <c r="N177" s="71">
        <f t="shared" si="108"/>
        <v>0</v>
      </c>
    </row>
    <row r="178" ht="45" spans="2:14">
      <c r="B178" s="40" t="str">
        <f>Planilha!A175</f>
        <v>2.11.8</v>
      </c>
      <c r="C178" s="43" t="str">
        <f>VLOOKUP($B178,Planilha!$A$11:$I$193,4,FALSE)</f>
        <v>Caixa de aterramento de concreto simples, nas dimensões de 30x30x25cm, com revest. int. em chapisco e reboco, tampa de concreto esp.5cm e lastro de brita esp. 5 cm, incl. haste 5/8"x2400mm</v>
      </c>
      <c r="D178" s="44">
        <f>VLOOKUP($B178,Planilha!$A$11:$I$193,9,FALSE)</f>
        <v>414.42</v>
      </c>
      <c r="E178" s="47"/>
      <c r="F178" s="46">
        <f t="shared" si="109"/>
        <v>0</v>
      </c>
      <c r="G178" s="45">
        <v>1</v>
      </c>
      <c r="H178" s="46">
        <f t="shared" si="105"/>
        <v>414.42</v>
      </c>
      <c r="I178" s="45"/>
      <c r="J178" s="46">
        <f t="shared" si="106"/>
        <v>0</v>
      </c>
      <c r="K178" s="47"/>
      <c r="L178" s="46">
        <f t="shared" si="107"/>
        <v>0</v>
      </c>
      <c r="M178" s="47"/>
      <c r="N178" s="71">
        <f t="shared" si="108"/>
        <v>0</v>
      </c>
    </row>
    <row r="179" ht="30" spans="2:14">
      <c r="B179" s="40" t="str">
        <f>Planilha!A176</f>
        <v>2.11.9</v>
      </c>
      <c r="C179" s="43" t="str">
        <f>VLOOKUP($B179,Planilha!$A$11:$I$193,4,FALSE)</f>
        <v>Eletroduto de PVC rígido roscável, diâm. 1/2" (20mm), inclusive conexões</v>
      </c>
      <c r="D179" s="44">
        <f>VLOOKUP($B179,Planilha!$A$11:$I$193,9,FALSE)</f>
        <v>29.34</v>
      </c>
      <c r="E179" s="47"/>
      <c r="F179" s="46">
        <f t="shared" si="109"/>
        <v>0</v>
      </c>
      <c r="G179" s="45">
        <v>1</v>
      </c>
      <c r="H179" s="46">
        <f t="shared" si="105"/>
        <v>29.34</v>
      </c>
      <c r="I179" s="45"/>
      <c r="J179" s="46">
        <f t="shared" si="106"/>
        <v>0</v>
      </c>
      <c r="K179" s="47"/>
      <c r="L179" s="46">
        <f t="shared" si="107"/>
        <v>0</v>
      </c>
      <c r="M179" s="47"/>
      <c r="N179" s="71">
        <f t="shared" si="108"/>
        <v>0</v>
      </c>
    </row>
    <row r="180" spans="2:14">
      <c r="B180" s="40" t="str">
        <f>Planilha!A177</f>
        <v>2.11.10</v>
      </c>
      <c r="C180" s="43" t="str">
        <f>VLOOKUP($B180,Planilha!$A$11:$I$193,4,FALSE)</f>
        <v>Eletroduto flexível corrugado 3/4" , marca de referência TIGRE</v>
      </c>
      <c r="D180" s="44">
        <f>VLOOKUP($B180,Planilha!$A$11:$I$193,9,FALSE)</f>
        <v>76.02</v>
      </c>
      <c r="E180" s="47"/>
      <c r="F180" s="46">
        <f t="shared" si="109"/>
        <v>0</v>
      </c>
      <c r="G180" s="45">
        <v>1</v>
      </c>
      <c r="H180" s="46">
        <f t="shared" si="105"/>
        <v>76.02</v>
      </c>
      <c r="I180" s="45"/>
      <c r="J180" s="46">
        <f t="shared" si="106"/>
        <v>0</v>
      </c>
      <c r="K180" s="47"/>
      <c r="L180" s="46">
        <f t="shared" si="107"/>
        <v>0</v>
      </c>
      <c r="M180" s="47"/>
      <c r="N180" s="71">
        <f t="shared" si="108"/>
        <v>0</v>
      </c>
    </row>
    <row r="181" s="2" customFormat="1" spans="2:15">
      <c r="B181" s="40" t="str">
        <f>Planilha!A178</f>
        <v>2.12</v>
      </c>
      <c r="C181" s="36" t="str">
        <f>VLOOKUP($B181,Planilha!$A$11:$I$193,4,FALSE)</f>
        <v>Aparelhos Elétricos</v>
      </c>
      <c r="D181" s="37">
        <f>SUM(D182:D184)</f>
        <v>297.86</v>
      </c>
      <c r="E181" s="41"/>
      <c r="F181" s="42"/>
      <c r="G181" s="41"/>
      <c r="H181" s="42"/>
      <c r="I181" s="41"/>
      <c r="J181" s="42"/>
      <c r="K181" s="41"/>
      <c r="L181" s="42"/>
      <c r="M181" s="41"/>
      <c r="N181" s="70"/>
      <c r="O181"/>
    </row>
    <row r="182" ht="45" spans="2:14">
      <c r="B182" s="40" t="str">
        <f>Planilha!A179</f>
        <v>2.12.1</v>
      </c>
      <c r="C182" s="43" t="str">
        <f>VLOOKUP($B182,Planilha!$A$11:$I$193,4,FALSE)</f>
        <v>Luminária para uma lâmpada fluorescente 20W, completa, c/ reator simples-127V partida rápida alto fator de potência, soquete antivibratório e lâmpada fluorescente 20W-127V</v>
      </c>
      <c r="D182" s="44">
        <f>VLOOKUP($B182,Planilha!$A$11:$I$193,9,FALSE)</f>
        <v>156.6</v>
      </c>
      <c r="E182" s="47"/>
      <c r="F182" s="46">
        <f t="shared" ref="F182:F186" si="110">E182*$D182</f>
        <v>0</v>
      </c>
      <c r="G182" s="47"/>
      <c r="H182" s="46">
        <f t="shared" ref="H182:H184" si="111">G182*$D182</f>
        <v>0</v>
      </c>
      <c r="I182" s="47"/>
      <c r="J182" s="46">
        <f t="shared" ref="J182:J184" si="112">I182*$D182</f>
        <v>0</v>
      </c>
      <c r="K182" s="45">
        <v>1</v>
      </c>
      <c r="L182" s="46">
        <f t="shared" ref="L182:L184" si="113">K182*$D182</f>
        <v>156.6</v>
      </c>
      <c r="M182" s="45"/>
      <c r="N182" s="71">
        <f t="shared" ref="N182:N184" si="114">M182*$D182</f>
        <v>0</v>
      </c>
    </row>
    <row r="183" ht="30" spans="2:14">
      <c r="B183" s="40" t="str">
        <f>Planilha!A180</f>
        <v>2.12.2</v>
      </c>
      <c r="C183" s="43" t="str">
        <f>VLOOKUP($B183,Planilha!$A$11:$I$193,4,FALSE)</f>
        <v>Interruptor de uma tecla simples 10A/250V e uma tomada 3 polos 10A/250V, padrão brasileiro, NBR 14136, linha branca, com placa 4x2"</v>
      </c>
      <c r="D183" s="44">
        <f>VLOOKUP($B183,Planilha!$A$11:$I$193,9,FALSE)</f>
        <v>81.97</v>
      </c>
      <c r="E183" s="47"/>
      <c r="F183" s="46">
        <f t="shared" si="110"/>
        <v>0</v>
      </c>
      <c r="G183" s="47"/>
      <c r="H183" s="46">
        <f t="shared" si="111"/>
        <v>0</v>
      </c>
      <c r="I183" s="47"/>
      <c r="J183" s="46">
        <f t="shared" si="112"/>
        <v>0</v>
      </c>
      <c r="K183" s="45">
        <v>1</v>
      </c>
      <c r="L183" s="46">
        <f t="shared" si="113"/>
        <v>81.97</v>
      </c>
      <c r="M183" s="45"/>
      <c r="N183" s="71">
        <f t="shared" si="114"/>
        <v>0</v>
      </c>
    </row>
    <row r="184" ht="30" spans="2:14">
      <c r="B184" s="40" t="str">
        <f>Planilha!A181</f>
        <v>2.12.3</v>
      </c>
      <c r="C184" s="43" t="str">
        <f>VLOOKUP($B184,Planilha!$A$11:$I$193,4,FALSE)</f>
        <v>Tomada padrão brasileiro linha branca, NBR 14136 2 polos + terra 20A/250V, com placa 4x2"</v>
      </c>
      <c r="D184" s="44">
        <f>VLOOKUP($B184,Planilha!$A$11:$I$193,9,FALSE)</f>
        <v>59.29</v>
      </c>
      <c r="E184" s="47"/>
      <c r="F184" s="46">
        <f t="shared" si="110"/>
        <v>0</v>
      </c>
      <c r="G184" s="47"/>
      <c r="H184" s="46">
        <f t="shared" si="111"/>
        <v>0</v>
      </c>
      <c r="I184" s="47"/>
      <c r="J184" s="46">
        <f t="shared" si="112"/>
        <v>0</v>
      </c>
      <c r="K184" s="45">
        <v>1</v>
      </c>
      <c r="L184" s="46">
        <f t="shared" si="113"/>
        <v>59.29</v>
      </c>
      <c r="M184" s="45"/>
      <c r="N184" s="71">
        <f t="shared" si="114"/>
        <v>0</v>
      </c>
    </row>
    <row r="185" s="2" customFormat="1" spans="2:15">
      <c r="B185" s="40" t="str">
        <f>Planilha!A182</f>
        <v>2.13</v>
      </c>
      <c r="C185" s="36" t="str">
        <f>VLOOKUP($B185,Planilha!$A$11:$I$193,4,FALSE)</f>
        <v>Pintura</v>
      </c>
      <c r="D185" s="37">
        <f>SUM(D186:D187)</f>
        <v>1357.47</v>
      </c>
      <c r="E185" s="41"/>
      <c r="F185" s="42"/>
      <c r="G185" s="41"/>
      <c r="H185" s="42"/>
      <c r="I185" s="41"/>
      <c r="J185" s="42"/>
      <c r="K185" s="41"/>
      <c r="L185" s="42"/>
      <c r="M185" s="41"/>
      <c r="N185" s="70"/>
      <c r="O185"/>
    </row>
    <row r="186" ht="45" spans="2:14">
      <c r="B186" s="40" t="str">
        <f>Planilha!A183</f>
        <v>2.13.1</v>
      </c>
      <c r="C186" s="43" t="str">
        <f>VLOOKUP($B186,Planilha!$A$11:$I$193,4,FALSE)</f>
        <v>Pintura com tinta acrílica, marcas de referência Suvinil, Coral ou Metalatex, inclusive selador acrílico, em paredes e forros, a três demãos</v>
      </c>
      <c r="D186" s="44">
        <f>VLOOKUP($B186,Planilha!$A$11:$I$193,9,FALSE)</f>
        <v>1081.75</v>
      </c>
      <c r="E186" s="47"/>
      <c r="F186" s="46">
        <f t="shared" si="110"/>
        <v>0</v>
      </c>
      <c r="G186" s="47"/>
      <c r="H186" s="46">
        <f t="shared" ref="H186:H189" si="115">G186*$D186</f>
        <v>0</v>
      </c>
      <c r="I186" s="47"/>
      <c r="J186" s="46">
        <f t="shared" ref="J186:J189" si="116">I186*$D186</f>
        <v>0</v>
      </c>
      <c r="K186" s="45">
        <v>1</v>
      </c>
      <c r="L186" s="46">
        <f t="shared" ref="L186:L189" si="117">K186*$D186</f>
        <v>1081.75</v>
      </c>
      <c r="M186" s="45"/>
      <c r="N186" s="71">
        <f t="shared" ref="N186:N189" si="118">M186*$D186</f>
        <v>0</v>
      </c>
    </row>
    <row r="187" ht="45" spans="2:14">
      <c r="B187" s="40" t="str">
        <f>Planilha!A184</f>
        <v>2.13.2</v>
      </c>
      <c r="C187" s="43" t="str">
        <f>VLOOKUP($B187,Planilha!$A$11:$I$193,4,FALSE)</f>
        <v>Pintura com tinta esmalte sintético, marcas de referência Suvinil, Coral ou Metalatex, a duas demãos, inclusive fundo anticorrosivo a uma demão, em metal</v>
      </c>
      <c r="D187" s="44">
        <f>VLOOKUP($B187,Planilha!$A$11:$I$193,9,FALSE)</f>
        <v>275.72</v>
      </c>
      <c r="E187" s="47"/>
      <c r="F187" s="46">
        <f t="shared" ref="F187:F191" si="119">E187*$D187</f>
        <v>0</v>
      </c>
      <c r="G187" s="47"/>
      <c r="H187" s="46">
        <f t="shared" si="115"/>
        <v>0</v>
      </c>
      <c r="I187" s="45"/>
      <c r="J187" s="46">
        <f t="shared" si="116"/>
        <v>0</v>
      </c>
      <c r="K187" s="45">
        <v>1</v>
      </c>
      <c r="L187" s="46">
        <f t="shared" si="117"/>
        <v>275.72</v>
      </c>
      <c r="M187" s="45"/>
      <c r="N187" s="71">
        <f t="shared" si="118"/>
        <v>0</v>
      </c>
    </row>
    <row r="188" s="2" customFormat="1" spans="2:15">
      <c r="B188" s="40" t="str">
        <f>Planilha!A185</f>
        <v>2.14</v>
      </c>
      <c r="C188" s="36" t="str">
        <f>VLOOKUP($B188,Planilha!$A$11:$I$193,4,FALSE)</f>
        <v>Serviços complementares externos</v>
      </c>
      <c r="D188" s="37">
        <f>SUM(D189)</f>
        <v>865.63</v>
      </c>
      <c r="E188" s="41"/>
      <c r="F188" s="42"/>
      <c r="G188" s="41"/>
      <c r="H188" s="42"/>
      <c r="I188" s="41"/>
      <c r="J188" s="42"/>
      <c r="K188" s="41"/>
      <c r="L188" s="42"/>
      <c r="M188" s="41"/>
      <c r="N188" s="70"/>
      <c r="O188"/>
    </row>
    <row r="189" ht="45" spans="2:14">
      <c r="B189" s="40" t="str">
        <f>Planilha!A186</f>
        <v>2.14.1</v>
      </c>
      <c r="C189" s="43" t="str">
        <f>VLOOKUP($B189,Planilha!$A$11:$I$193,4,FALSE)</f>
        <v>Passeio de cimentado camurçado com argamassa de cimento e areia no traço 1:3 esp. 1.5cm, e lastro de concreto com 8cm de espessura, inclusive preparo de caixa</v>
      </c>
      <c r="D189" s="44">
        <f>VLOOKUP($B189,Planilha!$A$11:$I$193,9,FALSE)</f>
        <v>865.63</v>
      </c>
      <c r="E189" s="47"/>
      <c r="F189" s="46">
        <f t="shared" si="119"/>
        <v>0</v>
      </c>
      <c r="G189" s="47"/>
      <c r="H189" s="46">
        <f t="shared" si="115"/>
        <v>0</v>
      </c>
      <c r="I189" s="45"/>
      <c r="J189" s="46">
        <f t="shared" si="116"/>
        <v>0</v>
      </c>
      <c r="K189" s="45">
        <v>1</v>
      </c>
      <c r="L189" s="46">
        <f t="shared" si="117"/>
        <v>865.63</v>
      </c>
      <c r="M189" s="45"/>
      <c r="N189" s="71">
        <f t="shared" si="118"/>
        <v>0</v>
      </c>
    </row>
    <row r="190" s="2" customFormat="1" spans="2:15">
      <c r="B190" s="40" t="str">
        <f>Planilha!A187</f>
        <v>2.15</v>
      </c>
      <c r="C190" s="36" t="str">
        <f>VLOOKUP($B190,Planilha!$A$11:$I$193,4,FALSE)</f>
        <v>Tratamento, conservação e limpeza</v>
      </c>
      <c r="D190" s="37">
        <f>SUM(D191)</f>
        <v>98.38</v>
      </c>
      <c r="E190" s="41"/>
      <c r="F190" s="42"/>
      <c r="G190" s="41"/>
      <c r="H190" s="42"/>
      <c r="I190" s="41"/>
      <c r="J190" s="42"/>
      <c r="K190" s="41"/>
      <c r="L190" s="42"/>
      <c r="M190" s="41"/>
      <c r="N190" s="70"/>
      <c r="O190"/>
    </row>
    <row r="191" spans="2:14">
      <c r="B191" s="40" t="str">
        <f>Planilha!A188</f>
        <v>2.15.1</v>
      </c>
      <c r="C191" s="43" t="str">
        <f>VLOOKUP($B191,Planilha!$A$11:$I$193,4,FALSE)</f>
        <v>Limpeza geral da obra (edificação)</v>
      </c>
      <c r="D191" s="44">
        <f>VLOOKUP($B191,Planilha!$A$11:$I$193,9,FALSE)</f>
        <v>98.38</v>
      </c>
      <c r="E191" s="47"/>
      <c r="F191" s="46">
        <f t="shared" si="119"/>
        <v>0</v>
      </c>
      <c r="G191" s="47"/>
      <c r="H191" s="46">
        <f t="shared" ref="H191:H194" si="120">G191*$D191</f>
        <v>0</v>
      </c>
      <c r="I191" s="47"/>
      <c r="J191" s="46">
        <f t="shared" ref="J191:J194" si="121">I191*$D191</f>
        <v>0</v>
      </c>
      <c r="K191" s="45"/>
      <c r="L191" s="46">
        <f t="shared" ref="L191:L194" si="122">K191*$D191</f>
        <v>0</v>
      </c>
      <c r="M191" s="45">
        <v>1</v>
      </c>
      <c r="N191" s="71">
        <f t="shared" ref="N191:N194" si="123">M191*$D191</f>
        <v>98.38</v>
      </c>
    </row>
    <row r="192" s="2" customFormat="1" spans="2:15">
      <c r="B192" s="40" t="str">
        <f>Planilha!A189</f>
        <v>2.16</v>
      </c>
      <c r="C192" s="36" t="str">
        <f>VLOOKUP($B192,Planilha!$A$11:$I$193,4,FALSE)</f>
        <v>Serviços complementares internos</v>
      </c>
      <c r="D192" s="37">
        <f>SUM(D193:D194)</f>
        <v>3778.6</v>
      </c>
      <c r="E192" s="41"/>
      <c r="F192" s="42"/>
      <c r="G192" s="41"/>
      <c r="H192" s="42"/>
      <c r="I192" s="41"/>
      <c r="J192" s="42"/>
      <c r="K192" s="41"/>
      <c r="L192" s="42"/>
      <c r="M192" s="41"/>
      <c r="N192" s="70"/>
      <c r="O192"/>
    </row>
    <row r="193" spans="2:14">
      <c r="B193" s="40" t="str">
        <f>Planilha!A190</f>
        <v>2.16.1</v>
      </c>
      <c r="C193" s="43" t="str">
        <f>VLOOKUP($B193,Planilha!$A$11:$I$193,4,FALSE)</f>
        <v>Prateleiras em granito cinza andorinha, esp. 2cm</v>
      </c>
      <c r="D193" s="44">
        <f>VLOOKUP($B193,Planilha!$A$11:$I$193,9,FALSE)</f>
        <v>2645.44</v>
      </c>
      <c r="E193" s="47"/>
      <c r="F193" s="46">
        <f>E193*$D193</f>
        <v>0</v>
      </c>
      <c r="G193" s="47"/>
      <c r="H193" s="46">
        <f t="shared" si="120"/>
        <v>0</v>
      </c>
      <c r="I193" s="47"/>
      <c r="J193" s="46">
        <f t="shared" si="121"/>
        <v>0</v>
      </c>
      <c r="K193" s="45">
        <v>1</v>
      </c>
      <c r="L193" s="46">
        <f t="shared" si="122"/>
        <v>2645.44</v>
      </c>
      <c r="M193" s="45"/>
      <c r="N193" s="71">
        <f t="shared" si="123"/>
        <v>0</v>
      </c>
    </row>
    <row r="194" ht="30.75" spans="2:14">
      <c r="B194" s="72" t="str">
        <f>Planilha!A191</f>
        <v>2.16.2</v>
      </c>
      <c r="C194" s="73" t="str">
        <f>VLOOKUP($B194,Planilha!$A$11:$I$193,4,FALSE)</f>
        <v>Suporte mão francesa em aço, abas iguais 40cm, capacidade mínima 70Kg, branco - fornecimento e instalação. AF_10/2020</v>
      </c>
      <c r="D194" s="74">
        <f>VLOOKUP($B194,Planilha!$A$11:$I$193,9,FALSE)</f>
        <v>1133.16</v>
      </c>
      <c r="E194" s="75"/>
      <c r="F194" s="76">
        <f>E194*$D194</f>
        <v>0</v>
      </c>
      <c r="G194" s="75"/>
      <c r="H194" s="76">
        <f t="shared" si="120"/>
        <v>0</v>
      </c>
      <c r="I194" s="75"/>
      <c r="J194" s="76">
        <f t="shared" si="121"/>
        <v>0</v>
      </c>
      <c r="K194" s="100">
        <v>1</v>
      </c>
      <c r="L194" s="101">
        <f t="shared" si="122"/>
        <v>1133.16</v>
      </c>
      <c r="M194" s="102"/>
      <c r="N194" s="103">
        <f t="shared" si="123"/>
        <v>0</v>
      </c>
    </row>
    <row r="195" spans="2:14">
      <c r="B195" s="77"/>
      <c r="C195" s="78"/>
      <c r="D195" s="52"/>
      <c r="E195" s="79"/>
      <c r="F195" s="52"/>
      <c r="G195" s="79"/>
      <c r="H195" s="52"/>
      <c r="I195" s="79"/>
      <c r="J195" s="104"/>
      <c r="K195" s="79"/>
      <c r="L195" s="105"/>
      <c r="M195" s="106"/>
      <c r="N195" s="53"/>
    </row>
    <row r="196" spans="2:14">
      <c r="B196" s="80" t="s">
        <v>643</v>
      </c>
      <c r="C196" s="81"/>
      <c r="D196" s="81">
        <f>SUM(D124,D15)</f>
        <v>357449.08</v>
      </c>
      <c r="E196" s="79"/>
      <c r="F196" s="82"/>
      <c r="G196" s="79"/>
      <c r="H196" s="82"/>
      <c r="I196" s="79"/>
      <c r="J196" s="52"/>
      <c r="K196" s="79"/>
      <c r="L196" s="107"/>
      <c r="M196" s="84"/>
      <c r="N196" s="108"/>
    </row>
    <row r="197" spans="2:14">
      <c r="B197" s="83"/>
      <c r="C197" s="52"/>
      <c r="D197" s="52"/>
      <c r="E197" s="79"/>
      <c r="F197" s="14"/>
      <c r="G197" s="84"/>
      <c r="H197" s="14"/>
      <c r="I197" s="84"/>
      <c r="J197" s="14"/>
      <c r="K197" s="84"/>
      <c r="L197" s="109"/>
      <c r="M197" s="110"/>
      <c r="N197" s="53"/>
    </row>
    <row r="198" spans="2:14">
      <c r="B198" s="83"/>
      <c r="C198" s="52"/>
      <c r="D198" s="81" t="s">
        <v>644</v>
      </c>
      <c r="E198" s="85">
        <f>E199/$D$196</f>
        <v>0.0668459406861531</v>
      </c>
      <c r="F198" s="86"/>
      <c r="G198" s="85">
        <f>G199/$D$196</f>
        <v>0.220191509515146</v>
      </c>
      <c r="H198" s="86"/>
      <c r="I198" s="85">
        <f>I199/$D$196</f>
        <v>0.191982392289274</v>
      </c>
      <c r="J198" s="86"/>
      <c r="K198" s="85">
        <f>K199/$D$196</f>
        <v>0.222291963935115</v>
      </c>
      <c r="L198" s="111"/>
      <c r="M198" s="112">
        <f>M199/$D$196</f>
        <v>0.298688193574313</v>
      </c>
      <c r="N198" s="113"/>
    </row>
    <row r="199" spans="2:14">
      <c r="B199" s="83"/>
      <c r="C199" s="52"/>
      <c r="D199" s="81"/>
      <c r="E199" s="87">
        <f t="shared" ref="E199:I199" si="124">SUM(F17:F194)</f>
        <v>23894.02</v>
      </c>
      <c r="F199" s="87"/>
      <c r="G199" s="87">
        <f t="shared" si="124"/>
        <v>78707.2525</v>
      </c>
      <c r="H199" s="87"/>
      <c r="I199" s="87">
        <f t="shared" si="124"/>
        <v>68623.9295</v>
      </c>
      <c r="J199" s="87"/>
      <c r="K199" s="87">
        <f>SUM(L17:L194)</f>
        <v>79458.058</v>
      </c>
      <c r="L199" s="87"/>
      <c r="M199" s="87">
        <f>SUM(N17:N194)</f>
        <v>106765.82</v>
      </c>
      <c r="N199" s="114"/>
    </row>
    <row r="200" spans="2:14">
      <c r="B200" s="83"/>
      <c r="C200" s="52"/>
      <c r="D200" s="88"/>
      <c r="E200" s="89"/>
      <c r="F200" s="52"/>
      <c r="G200" s="79"/>
      <c r="H200" s="52"/>
      <c r="I200" s="79"/>
      <c r="J200" s="52"/>
      <c r="K200" s="79"/>
      <c r="L200" s="14"/>
      <c r="M200" s="79"/>
      <c r="N200" s="53"/>
    </row>
    <row r="201" spans="2:14">
      <c r="B201" s="83"/>
      <c r="C201" s="52"/>
      <c r="D201" s="90" t="s">
        <v>645</v>
      </c>
      <c r="E201" s="91">
        <f>E198</f>
        <v>0.0668459406861531</v>
      </c>
      <c r="F201" s="86"/>
      <c r="G201" s="91">
        <f t="shared" ref="G201:K201" si="125">E201+G198</f>
        <v>0.287037450201299</v>
      </c>
      <c r="H201" s="86"/>
      <c r="I201" s="91">
        <f t="shared" si="125"/>
        <v>0.479019842490572</v>
      </c>
      <c r="J201" s="86"/>
      <c r="K201" s="91">
        <f t="shared" si="125"/>
        <v>0.701311806425687</v>
      </c>
      <c r="L201" s="115"/>
      <c r="M201" s="116">
        <f>K201+M198</f>
        <v>1</v>
      </c>
      <c r="N201" s="117"/>
    </row>
    <row r="202" spans="2:14">
      <c r="B202" s="83"/>
      <c r="C202" s="52"/>
      <c r="D202" s="92"/>
      <c r="E202" s="87">
        <f>E199</f>
        <v>23894.02</v>
      </c>
      <c r="F202" s="87"/>
      <c r="G202" s="87">
        <f t="shared" ref="G202:K202" si="126">E202+G199</f>
        <v>102601.2725</v>
      </c>
      <c r="H202" s="87"/>
      <c r="I202" s="87">
        <f t="shared" si="126"/>
        <v>171225.202</v>
      </c>
      <c r="J202" s="87"/>
      <c r="K202" s="87">
        <f t="shared" si="126"/>
        <v>250683.26</v>
      </c>
      <c r="L202" s="118"/>
      <c r="M202" s="119">
        <f>K202+M199</f>
        <v>357449.08</v>
      </c>
      <c r="N202" s="114"/>
    </row>
    <row r="203" spans="2:14">
      <c r="B203" s="93"/>
      <c r="C203" s="1"/>
      <c r="D203" s="1"/>
      <c r="E203" s="94"/>
      <c r="F203" s="1"/>
      <c r="G203" s="94"/>
      <c r="H203" s="1"/>
      <c r="I203" s="94"/>
      <c r="J203" s="1"/>
      <c r="K203" s="94"/>
      <c r="L203" s="120"/>
      <c r="M203" s="121"/>
      <c r="N203" s="122"/>
    </row>
    <row r="204" spans="2:14">
      <c r="B204" s="93"/>
      <c r="C204" s="1"/>
      <c r="D204" s="1"/>
      <c r="E204" s="94"/>
      <c r="F204" s="1"/>
      <c r="G204" s="94"/>
      <c r="H204" s="1"/>
      <c r="I204" s="94"/>
      <c r="J204" s="1"/>
      <c r="K204" s="94"/>
      <c r="L204" s="120"/>
      <c r="M204" s="123"/>
      <c r="N204" s="122"/>
    </row>
    <row r="205" spans="2:14">
      <c r="B205" s="93"/>
      <c r="C205" s="1"/>
      <c r="D205" s="1"/>
      <c r="E205" s="94"/>
      <c r="F205" s="1"/>
      <c r="G205" s="94"/>
      <c r="H205" s="1"/>
      <c r="I205" s="94"/>
      <c r="J205" s="1"/>
      <c r="K205" s="94"/>
      <c r="L205" s="120"/>
      <c r="M205" s="123"/>
      <c r="N205" s="122"/>
    </row>
    <row r="206" spans="2:14">
      <c r="B206" s="93"/>
      <c r="C206" s="1"/>
      <c r="D206" s="1"/>
      <c r="E206" s="94"/>
      <c r="F206" s="1"/>
      <c r="G206" s="94"/>
      <c r="H206" s="1"/>
      <c r="I206" s="94"/>
      <c r="J206" s="1"/>
      <c r="K206" s="94"/>
      <c r="L206" s="120"/>
      <c r="M206" s="123"/>
      <c r="N206" s="122"/>
    </row>
    <row r="207" spans="2:14">
      <c r="B207" s="93"/>
      <c r="C207" s="95" t="s">
        <v>646</v>
      </c>
      <c r="D207" s="95"/>
      <c r="E207" s="94"/>
      <c r="F207" s="1"/>
      <c r="G207" s="94"/>
      <c r="H207" s="1"/>
      <c r="I207" s="94"/>
      <c r="J207" s="1"/>
      <c r="K207" s="94"/>
      <c r="L207" s="120"/>
      <c r="M207" s="123"/>
      <c r="N207" s="122"/>
    </row>
    <row r="208" spans="2:14">
      <c r="B208" s="93"/>
      <c r="C208" s="96" t="s">
        <v>647</v>
      </c>
      <c r="D208" s="96"/>
      <c r="E208" s="94"/>
      <c r="F208" s="1"/>
      <c r="G208" s="94"/>
      <c r="H208" s="1"/>
      <c r="I208" s="94"/>
      <c r="J208" s="1"/>
      <c r="K208" s="94"/>
      <c r="L208" s="120"/>
      <c r="M208" s="123"/>
      <c r="N208" s="122"/>
    </row>
    <row r="209" ht="15.75" spans="2:14">
      <c r="B209" s="97"/>
      <c r="C209" s="98"/>
      <c r="D209" s="98"/>
      <c r="E209" s="99"/>
      <c r="F209" s="98"/>
      <c r="G209" s="99"/>
      <c r="H209" s="98"/>
      <c r="I209" s="99"/>
      <c r="J209" s="98"/>
      <c r="K209" s="99"/>
      <c r="L209" s="98"/>
      <c r="M209" s="99"/>
      <c r="N209" s="124"/>
    </row>
  </sheetData>
  <mergeCells count="46">
    <mergeCell ref="B2:N2"/>
    <mergeCell ref="B3:N3"/>
    <mergeCell ref="B4:N4"/>
    <mergeCell ref="B6:J6"/>
    <mergeCell ref="K6:N6"/>
    <mergeCell ref="B7:J7"/>
    <mergeCell ref="B8:J8"/>
    <mergeCell ref="B9:J9"/>
    <mergeCell ref="K9:L9"/>
    <mergeCell ref="M9:N9"/>
    <mergeCell ref="B11:N11"/>
    <mergeCell ref="B196:C196"/>
    <mergeCell ref="E198:F198"/>
    <mergeCell ref="G198:H198"/>
    <mergeCell ref="I198:J198"/>
    <mergeCell ref="K198:L198"/>
    <mergeCell ref="M198:N198"/>
    <mergeCell ref="E199:F199"/>
    <mergeCell ref="G199:H199"/>
    <mergeCell ref="I199:J199"/>
    <mergeCell ref="K199:L199"/>
    <mergeCell ref="M199:N199"/>
    <mergeCell ref="E201:F201"/>
    <mergeCell ref="G201:H201"/>
    <mergeCell ref="I201:J201"/>
    <mergeCell ref="K201:L201"/>
    <mergeCell ref="M201:N201"/>
    <mergeCell ref="E202:F202"/>
    <mergeCell ref="G202:H202"/>
    <mergeCell ref="I202:J202"/>
    <mergeCell ref="K202:L202"/>
    <mergeCell ref="M202:N202"/>
    <mergeCell ref="C207:D207"/>
    <mergeCell ref="C208:D208"/>
    <mergeCell ref="B13:B14"/>
    <mergeCell ref="C13:C14"/>
    <mergeCell ref="D13:D14"/>
    <mergeCell ref="D198:D199"/>
    <mergeCell ref="D201:D202"/>
    <mergeCell ref="K7:K8"/>
    <mergeCell ref="L7:L8"/>
    <mergeCell ref="E13:F14"/>
    <mergeCell ref="G13:H14"/>
    <mergeCell ref="I13:J14"/>
    <mergeCell ref="K13:L14"/>
    <mergeCell ref="M13:N14"/>
  </mergeCells>
  <pageMargins left="0.751388888888889" right="0.751388888888889" top="1" bottom="1" header="0.5" footer="0.5"/>
  <pageSetup paperSize="9" scale="69" fitToHeight="0" orientation="landscape" horizontalDpi="600"/>
  <headerFooter/>
  <rowBreaks count="2" manualBreakCount="2">
    <brk id="165" max="14" man="1"/>
    <brk id="209" max="16383" man="1"/>
  </row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14285714285714" defaultRowHeight="15"/>
  <sheetData/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Planilha</vt:lpstr>
      <vt:lpstr>Memorial de cálculo</vt:lpstr>
      <vt:lpstr>Cronograma</vt:lpstr>
      <vt:lpstr>COMP A1.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dcterms:created xsi:type="dcterms:W3CDTF">2022-04-19T15:40:00Z</dcterms:created>
  <dcterms:modified xsi:type="dcterms:W3CDTF">2022-07-15T13:27:38Z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783A1883460A4BCD9A677A3C222AE86B</vt:lpwstr>
  </property>
  <property fmtid="{D5CDD505-2E9C-101B-9397-08002B2CF9AE}" pid="3" name="KSOProductBuildVer">
    <vt:lpwstr>1046-11.2.0.9453</vt:lpwstr>
  </property>
</Properties>
</file>